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5628" activeTab="1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s>
  <definedNames>
    <definedName name="_Order1" hidden="1">255</definedName>
    <definedName name="ActualTotalFederalAndStateProjects">'Page 9'!$J$37</definedName>
    <definedName name="ActualTotalInstImpExp">'Page 5'!$I$11</definedName>
    <definedName name="AddlInstrImprProjEndBal">'Page 5'!$F$19</definedName>
    <definedName name="AllDisabilityClassifications">'Instructions'!$C$34</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'Instructions'!$C$44</definedName>
    <definedName name="CashBal">'Page 7'!$F$6</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Liabilities">'Page 7'!#REF!</definedName>
    <definedName name="DebtService">'Instructions'!$C$43</definedName>
    <definedName name="ExpensesPage2">'Instructions'!$C$12</definedName>
    <definedName name="FederalAndStateProjectsPage2">'Instructions'!$C$13</definedName>
    <definedName name="FederalAndStateProjectsPage9">'Instructions'!$C$36</definedName>
    <definedName name="FederalAndStateProjectsPage9Line30">'Instructions'!$C$38</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'Instructions'!$C$25</definedName>
    <definedName name="GeneralInstructions">'Instructions'!$C$2</definedName>
    <definedName name="GeneralPage1">'Instructions'!$C$8</definedName>
    <definedName name="GeneralPage10">'Instructions'!$C$39</definedName>
    <definedName name="ImpactAidandOtherFederalProjects">'Instructions'!$C$37</definedName>
    <definedName name="InvestmentInCapitalAssets">'Instructions'!$C$17</definedName>
    <definedName name="InvestmentInCapitalAssetsLine5">'Instructions'!$C$18</definedName>
    <definedName name="LongandShortTermDebt">'Instructions'!$C$45</definedName>
    <definedName name="NameCountyCTDSNumber">'Instructions'!$C$7</definedName>
    <definedName name="_xlnm.Print_Area" localSheetId="11">'Instructions'!$A$1:$C$47</definedName>
    <definedName name="_xlnm.Print_Area" localSheetId="10">'Page 10'!$A$1:$L$51</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Program_200_Budget_and_Program_200_Actual_column_totals_should_equal_line_27_on_page_2.">'Instructions'!$C$35</definedName>
    <definedName name="Program200Total">'Instructions'!#REF!</definedName>
    <definedName name="Programs610620630">'Instructions'!$C$40</definedName>
    <definedName name="PropertyDisbursements">'Instructions'!$C$41</definedName>
    <definedName name="PropertyDisbursementsByType">'Instructions'!$C$42</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9'!$L$32</definedName>
    <definedName name="StP1465EndBal">'Page 9'!$L$33</definedName>
    <definedName name="StP14701499EndBal">'Page 9'!$L$34</definedName>
    <definedName name="StudentSuccessProject">'Instructions'!#REF!</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echnologyDetail">'Instructions'!$C$47</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'Instructions'!$C$46</definedName>
  </definedNames>
  <calcPr fullCalcOnLoad="1" fullPrecision="0"/>
</workbook>
</file>

<file path=xl/sharedStrings.xml><?xml version="1.0" encoding="utf-8"?>
<sst xmlns="http://schemas.openxmlformats.org/spreadsheetml/2006/main" count="965" uniqueCount="510">
  <si>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</si>
  <si>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</si>
  <si>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</si>
  <si>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</si>
  <si>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</si>
  <si>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</si>
  <si>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</si>
  <si>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</si>
  <si>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</si>
  <si>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</si>
  <si>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</si>
  <si>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</si>
  <si>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</si>
  <si>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</si>
  <si>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</si>
  <si>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</si>
  <si>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</si>
  <si>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</si>
  <si>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</si>
  <si>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</si>
  <si>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</si>
  <si>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</si>
  <si>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</si>
  <si>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</si>
  <si>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</si>
  <si>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</si>
  <si>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</si>
  <si>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</si>
  <si>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</si>
  <si>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</si>
  <si>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</si>
  <si>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</si>
  <si>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</si>
  <si>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</si>
  <si>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</si>
  <si>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</si>
  <si>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</si>
  <si>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</si>
  <si>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</si>
  <si>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</si>
  <si>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</si>
  <si>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</si>
  <si>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</si>
  <si>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</si>
  <si>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</si>
  <si>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</si>
  <si>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</si>
  <si>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</si>
  <si>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</si>
  <si>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</si>
  <si>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</si>
  <si>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</si>
  <si>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</si>
  <si>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</si>
  <si>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</si>
  <si>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</si>
  <si>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</si>
  <si>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</si>
  <si>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</si>
  <si>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</si>
  <si>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</si>
  <si>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</si>
  <si>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</si>
  <si>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</si>
  <si>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</si>
  <si>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</si>
  <si>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</si>
  <si>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</si>
  <si>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</si>
  <si>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</si>
  <si>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</si>
  <si>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</si>
  <si>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</si>
  <si>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</si>
  <si>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</si>
  <si>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</si>
  <si>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</si>
  <si>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</si>
  <si>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</si>
  <si>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</si>
  <si>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</si>
  <si>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</si>
  <si>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</si>
  <si>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</si>
  <si>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</si>
  <si>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</si>
  <si>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</si>
  <si>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</si>
  <si>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</si>
  <si>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</si>
  <si>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</si>
  <si>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</si>
  <si>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</si>
  <si>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</si>
  <si>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</si>
  <si>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</si>
  <si>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</si>
  <si>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</si>
  <si>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</si>
  <si>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</si>
  <si>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</si>
  <si>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</si>
  <si>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</si>
  <si>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</si>
  <si>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</si>
  <si>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</si>
  <si>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</si>
  <si>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</si>
  <si>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</si>
  <si>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</si>
  <si>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</si>
  <si>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</si>
  <si>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</si>
  <si>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</si>
  <si>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</si>
  <si>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</si>
  <si>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</si>
  <si>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</si>
  <si>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</si>
  <si>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</si>
  <si>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</si>
  <si>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</si>
  <si>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</si>
  <si>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</si>
  <si>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</si>
  <si>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</si>
  <si>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</si>
  <si>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</si>
  <si>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</si>
  <si>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</si>
  <si>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</si>
  <si>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</si>
  <si>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</si>
  <si>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</si>
  <si>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</si>
  <si>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</si>
  <si>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</si>
  <si>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</si>
  <si>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</si>
  <si>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</si>
  <si>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</si>
  <si>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</si>
  <si>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</si>
  <si>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</si>
  <si>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</si>
  <si>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</si>
  <si>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</si>
  <si>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</si>
  <si>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</si>
  <si>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</si>
  <si>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</si>
  <si>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</si>
  <si>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</si>
  <si>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</si>
  <si>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</si>
  <si>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</si>
  <si>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</si>
  <si>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</si>
  <si>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</si>
  <si>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</si>
  <si>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</si>
  <si>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</si>
  <si>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</si>
  <si>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</si>
  <si>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</si>
  <si>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</si>
  <si>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</si>
  <si>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</si>
  <si>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</si>
  <si>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</si>
  <si>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</si>
  <si>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</si>
  <si>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</si>
  <si>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</si>
  <si>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</si>
  <si>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</si>
  <si>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</si>
  <si>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</si>
  <si>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</si>
  <si>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</si>
  <si>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</si>
  <si>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</si>
  <si>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</si>
  <si>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</si>
  <si>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</si>
  <si>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</si>
  <si>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</si>
  <si>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</si>
  <si>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</si>
  <si>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</si>
  <si>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</si>
  <si>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</si>
  <si>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</si>
  <si>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</si>
  <si>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</si>
  <si>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</si>
  <si>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</si>
  <si>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</si>
  <si>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</si>
  <si>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</si>
  <si>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</si>
  <si>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</si>
  <si>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</si>
  <si>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</si>
  <si>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</si>
  <si>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</si>
  <si>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</si>
  <si>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</si>
  <si>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</si>
  <si>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</si>
  <si>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</si>
  <si>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</si>
  <si>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</si>
  <si>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</si>
  <si>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</si>
  <si>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</si>
  <si>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</si>
  <si>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</si>
  <si>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</si>
  <si>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</si>
  <si>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</si>
  <si>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</si>
  <si>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</si>
  <si>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</si>
  <si>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</si>
  <si>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</si>
  <si>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</si>
  <si>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</si>
  <si>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</si>
  <si>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</si>
  <si>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</si>
  <si>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</si>
  <si>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</si>
  <si>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</si>
  <si>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</si>
  <si>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</si>
  <si>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</si>
  <si>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</si>
  <si>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</si>
  <si>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</si>
  <si>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</si>
  <si>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</si>
  <si>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</si>
  <si>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</si>
  <si>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</si>
  <si>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</si>
  <si>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</si>
  <si>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</si>
  <si>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</si>
  <si>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</si>
  <si>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</si>
  <si>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</si>
  <si>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</si>
  <si>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</si>
  <si>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</si>
  <si>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</si>
  <si>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</si>
  <si>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</si>
  <si>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</si>
  <si>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</si>
  <si>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</si>
  <si>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</si>
  <si>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</si>
  <si>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</si>
  <si>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</si>
  <si>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</si>
  <si>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</si>
  <si>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</si>
  <si>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</si>
  <si>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</si>
  <si>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</si>
  <si>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</si>
  <si>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</si>
  <si>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</si>
  <si>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</si>
  <si>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</si>
  <si>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</si>
  <si>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</si>
  <si>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</si>
  <si>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</si>
  <si>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</si>
  <si>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</si>
  <si>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</si>
  <si>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</si>
  <si>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</si>
  <si>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</si>
  <si>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</si>
  <si>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</si>
  <si>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</si>
  <si>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</si>
  <si>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</si>
  <si>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</si>
  <si>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</si>
  <si>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</si>
  <si>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</si>
  <si>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</si>
  <si>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</si>
  <si>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</si>
  <si>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</si>
  <si>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</si>
  <si>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</si>
  <si>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</si>
  <si>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</si>
  <si>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</si>
  <si>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</si>
  <si>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</si>
  <si>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</si>
  <si>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</si>
  <si>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</si>
  <si>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</si>
  <si>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</si>
  <si>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</si>
  <si>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</si>
  <si>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</si>
  <si>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</si>
  <si>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</si>
  <si>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</si>
  <si>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</si>
  <si>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</si>
  <si>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</si>
  <si>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</si>
  <si>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</si>
  <si>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</si>
  <si>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</si>
  <si>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</si>
  <si>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</si>
  <si>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</si>
  <si>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</si>
  <si>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</si>
  <si>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</si>
  <si>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</si>
  <si>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</si>
  <si>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</si>
  <si>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</si>
  <si>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</si>
  <si>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</si>
  <si>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</si>
  <si>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</si>
  <si>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</si>
  <si>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</si>
  <si>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</si>
  <si>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</si>
  <si>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</si>
  <si>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</si>
  <si>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</si>
  <si>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</si>
  <si>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</si>
  <si>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</si>
  <si>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</si>
  <si>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</si>
  <si>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</si>
  <si>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</si>
  <si>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</si>
  <si>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</si>
  <si>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</si>
  <si>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</si>
  <si>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</si>
  <si>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</si>
  <si>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</si>
  <si>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</si>
  <si>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</si>
  <si>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</si>
  <si>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</si>
  <si>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</si>
  <si>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</si>
  <si>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</si>
  <si>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</si>
  <si>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</si>
  <si>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</si>
  <si>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</si>
  <si>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</si>
  <si>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</si>
  <si>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</si>
  <si>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</si>
  <si>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</si>
  <si>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</si>
  <si>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</si>
  <si>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</si>
  <si>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</si>
  <si>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</si>
  <si>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</si>
  <si>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</si>
  <si>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</si>
  <si>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</si>
  <si>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</si>
  <si>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</si>
  <si>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</si>
  <si>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</si>
  <si>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</si>
  <si>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</si>
  <si>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</si>
  <si>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</si>
  <si>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</si>
  <si>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</si>
  <si>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</si>
  <si>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</si>
  <si>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</si>
  <si>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</si>
  <si>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</si>
  <si>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</si>
  <si>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</si>
  <si>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</si>
  <si>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</si>
  <si>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</si>
  <si>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</si>
  <si>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</si>
  <si>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</si>
  <si>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</si>
  <si>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</si>
  <si>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</si>
  <si>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</si>
  <si>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</si>
  <si>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</si>
  <si>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</si>
  <si>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</si>
  <si>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</si>
  <si>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</si>
  <si>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</si>
  <si>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</si>
  <si>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</si>
  <si>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</si>
  <si>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 xml:space="preserve">     3. Total</t>
  </si>
  <si>
    <t>Technology Detail</t>
  </si>
  <si>
    <t>Utilities and Energy Services</t>
  </si>
  <si>
    <t>Long-term and Short-term Debt</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</si>
  <si>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</si>
  <si>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</si>
  <si>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</si>
  <si>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</si>
  <si>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</si>
  <si>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</si>
  <si>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</si>
  <si>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on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</si>
  <si>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</si>
  <si>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</si>
  <si>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</si>
  <si>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</si>
  <si>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 xml:space="preserve">The Student Success Project was repealed by Laws 2015, Ch. 15, §5. Expenses related to monies remaining in the Student Success Project should be reported in the Schoolwide Project.
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</si>
  <si>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30 of page 9.</t>
  </si>
  <si>
    <t>All actual revenues, expenses, and account balances presented on the AFR must agree with the charter school’s accounting records as of June 30, 2017. Revenue and expense account codes used in the AFR agree with the USFRCS Chart of Accounts. Expense budget amounts should be taken from the charter school's most recently revised or adopted budget, which has been submitted to ADE, for FY 2017.            
Revenues must include cash receipts through June 30, 2017, and accrued revenues received after the end of the fiscal year. Examples of accrued revenues are cost reimbursement and entitlement programs, interest earned on investments, and FY 2017 classroom site project revenues.         
Expenses consist of all expenses incurred during the fiscal year, including expenses for goods and services received on or before June 30, 2017, but not paid for by that date. Examples of items requiring such treatment are included in the USFRCS, pages VI-G-8 and 9.</t>
  </si>
  <si>
    <r>
      <t xml:space="preserve">Record amounts expended in FY 2017 for audit services. 
Non-federal audit expense incurred in FY 2017 may be included on the budget work sheets for FY 2019 for reimbursement pursuant to A.R.S. </t>
    </r>
    <r>
      <rPr>
        <sz val="10"/>
        <rFont val="Calibri"/>
        <family val="2"/>
      </rPr>
      <t>§</t>
    </r>
    <r>
      <rPr>
        <sz val="10"/>
        <rFont val="Times New Roman"/>
        <family val="1"/>
      </rPr>
      <t xml:space="preserve">15-914.  In order to receive reimbursement in FY 2019, non-federal audit expenses must be included in the FY 2017 AFR.  Amounts reported must be amounts actually spent in FY 2017.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</si>
  <si>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2017.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</si>
  <si>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2017.  This amount is not recorded on the capital assets list until the project is completed.  Therefore, it will not appear on the capital assets list as of June 30, 2017.
</t>
  </si>
  <si>
    <t>Enter the total cost, by asset classification, recorded in the general ledger and on the capital assets list as of June 30, 2017,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2017.</t>
  </si>
  <si>
    <t>Enter the total cost of construction in progress as of June 30, 2017.  This amount is not recorded on the capital assets list as of June 30, 2017.</t>
  </si>
  <si>
    <t>Federal and State Projects, Line 30</t>
  </si>
  <si>
    <t>Enter Impact Aid amounts on Line 16 and all Other Federal Projects (less Impact Aid) on Line 17.</t>
  </si>
  <si>
    <t>The total budget and actual expenses on line 30 should agree with the total column for federal and state projects on line 37 of page 2.</t>
  </si>
  <si>
    <t>Section C— Total All Disability Classifications</t>
  </si>
  <si>
    <t>Enter total expenses for the disability classifications defined in A.R.S. §15-761.</t>
  </si>
  <si>
    <t>FY 2017</t>
  </si>
  <si>
    <t>We, the Governing Board of the Charter School, hereby certify the Annual Financial Report for the School Year 2017</t>
  </si>
  <si>
    <t xml:space="preserve">The annual financial report file(s) for FY 2017 uploaded to the Arizona Department of </t>
  </si>
  <si>
    <t>1. Schoolwide (from page 2, line 32)</t>
  </si>
  <si>
    <t>2. Classroom Site Project (from page 2, line 33)</t>
  </si>
  <si>
    <t xml:space="preserve">     Subtotal (lines 15 and 27-31)</t>
  </si>
  <si>
    <t>Federal and State Projects (from page 9, line 30)</t>
  </si>
  <si>
    <t xml:space="preserve">     Total (lines 32-37)</t>
  </si>
  <si>
    <t>Total (lines 12 and 13)</t>
  </si>
  <si>
    <t>Total (lines 26 and 27)</t>
  </si>
  <si>
    <t>INVESTMENT IN CAPITAL ASSETS AS OF JUNE 30, 2017</t>
  </si>
  <si>
    <t>Total (lines 1-7)</t>
  </si>
  <si>
    <t>Total All Disability Classifications</t>
  </si>
  <si>
    <t xml:space="preserve">     Total State Projects (lines 19-28)</t>
  </si>
  <si>
    <t xml:space="preserve">     Total Federal and State Projects (lines 18 and 29)</t>
  </si>
  <si>
    <t xml:space="preserve">     1. Long-term Debt Outstanding, July 1, 2016</t>
  </si>
  <si>
    <t xml:space="preserve">     2. Long-term Debt issued during FY 2017</t>
  </si>
  <si>
    <t xml:space="preserve">     3. Long-term Debt retired during FY 2017</t>
  </si>
  <si>
    <t xml:space="preserve">     4. Long-term Debt Outstanding, June 30, 2017</t>
  </si>
  <si>
    <t xml:space="preserve">     5. Short-term Debt Outstanding, July 1, 2016</t>
  </si>
  <si>
    <t xml:space="preserve">     6. Short-term Debt Outstanding, June 30, 2017</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</si>
  <si>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</si>
  <si>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</si>
  <si>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</si>
  <si>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</si>
  <si>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</si>
  <si>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</si>
  <si>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</si>
  <si>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</si>
  <si>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</si>
  <si>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</si>
  <si>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</si>
  <si>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</si>
  <si>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</si>
  <si>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</si>
  <si>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</si>
  <si>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</si>
  <si>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</si>
  <si>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</si>
  <si>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</si>
  <si>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Cash and Investments held at June 30, 2017</t>
  </si>
  <si>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</si>
  <si>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</si>
  <si>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</si>
  <si>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</si>
  <si>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</si>
  <si>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</si>
  <si>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</si>
  <si>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t xml:space="preserve">Report the number of full-time equivalent certified, noncertified and contract teachers on lines 1-3, respectively. Do not include instructional aides or assistants. </t>
  </si>
  <si>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</si>
  <si>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</si>
  <si>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NORTH STAR CHARTER SCHOOL, INC.</t>
  </si>
  <si>
    <t>MARICOPA</t>
  </si>
  <si>
    <t>078945000</t>
  </si>
  <si>
    <t>KURT HUZAR</t>
  </si>
  <si>
    <t>huzarcpa@aol.com</t>
  </si>
  <si>
    <t>melindaw@northstaraz.com</t>
  </si>
  <si>
    <t>MELINDA WHITTLE</t>
  </si>
  <si>
    <t>TRUSTEE</t>
  </si>
  <si>
    <t>Donations/Other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</si>
</sst>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sz val="10"/>
      <name val="Calibri"/>
      <family val="2"/>
    </font>
    <font>
      <sz val="10"/>
      <color indexed="12"/>
      <name val="Times New Roman"/>
      <family val="1"/>
    </font>
    <font>
      <b/>
      <u val="single"/>
      <sz val="10"/>
      <name val="Times New Roman"/>
      <family val="1"/>
    </font>
    <font>
      <b/>
      <sz val="10"/>
      <name val="Arial"/>
      <family val="2"/>
    </font>
    <font>
      <b/>
      <sz val="14"/>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Times New Roman"/>
      <family val="1"/>
    </font>
    <font>
      <u val="single"/>
      <sz val="10"/>
      <color indexed="12"/>
      <name val="Times New Roman"/>
      <family val="1"/>
    </font>
    <font>
      <b/>
      <u val="single"/>
      <sz val="10"/>
      <color indexed="12"/>
      <name val="Times New Roman"/>
      <family val="1"/>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0000FF"/>
      <name val="Times New Roman"/>
      <family val="1"/>
    </font>
    <font>
      <b/>
      <sz val="10"/>
      <color rgb="FF0000FF"/>
      <name val="Times New Roman"/>
      <family val="1"/>
    </font>
    <font>
      <u val="single"/>
      <sz val="9"/>
      <color rgb="FF0000FF"/>
      <name val="Arial"/>
      <family val="2"/>
    </font>
    <font>
      <u val="single"/>
      <sz val="10"/>
      <color rgb="FF0000FF"/>
      <name val="Times New Roman"/>
      <family val="1"/>
    </font>
    <font>
      <b/>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indexed="22"/>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9">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0" fontId="0" fillId="0" borderId="0" xfId="0" applyFont="1" applyBorder="1" applyAlignment="1">
      <alignment horizontal="right"/>
    </xf>
    <xf numFmtId="37" fontId="0" fillId="0" borderId="12" xfId="0" applyNumberFormat="1" applyFont="1" applyBorder="1" applyAlignment="1" applyProtection="1">
      <alignment/>
      <protection locked="0"/>
    </xf>
    <xf numFmtId="37" fontId="0" fillId="0" borderId="13" xfId="0" applyNumberFormat="1" applyFont="1" applyBorder="1" applyAlignment="1" applyProtection="1">
      <alignment/>
      <protection locked="0"/>
    </xf>
    <xf numFmtId="37" fontId="0" fillId="0" borderId="14" xfId="0" applyNumberFormat="1" applyFont="1" applyBorder="1" applyAlignment="1">
      <alignment/>
    </xf>
    <xf numFmtId="0" fontId="0" fillId="0" borderId="0" xfId="0" applyFont="1" applyBorder="1" applyAlignment="1">
      <alignment/>
    </xf>
    <xf numFmtId="0" fontId="0" fillId="0" borderId="12" xfId="0" applyFont="1" applyBorder="1" applyAlignment="1">
      <alignment horizontal="center"/>
    </xf>
    <xf numFmtId="0" fontId="0" fillId="0" borderId="0" xfId="0" applyFont="1" applyBorder="1" applyAlignment="1">
      <alignment horizontal="center"/>
    </xf>
    <xf numFmtId="37" fontId="0" fillId="0" borderId="12" xfId="0" applyNumberFormat="1" applyFont="1" applyBorder="1" applyAlignment="1">
      <alignment/>
    </xf>
    <xf numFmtId="49" fontId="0" fillId="0" borderId="0" xfId="0" applyNumberFormat="1" applyFont="1" applyAlignment="1">
      <alignment/>
    </xf>
    <xf numFmtId="37" fontId="0" fillId="0" borderId="15" xfId="0" applyNumberFormat="1" applyFont="1" applyBorder="1" applyAlignment="1" applyProtection="1">
      <alignment/>
      <protection locked="0"/>
    </xf>
    <xf numFmtId="37" fontId="0" fillId="0" borderId="15" xfId="0" applyNumberFormat="1" applyFont="1" applyBorder="1" applyAlignment="1">
      <alignment/>
    </xf>
    <xf numFmtId="49" fontId="0" fillId="0" borderId="0" xfId="0" applyNumberFormat="1" applyFont="1" applyBorder="1" applyAlignment="1">
      <alignment/>
    </xf>
    <xf numFmtId="37" fontId="0" fillId="0" borderId="16" xfId="0" applyNumberFormat="1" applyFont="1" applyBorder="1" applyAlignment="1">
      <alignment/>
    </xf>
    <xf numFmtId="0" fontId="0" fillId="0" borderId="13"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37" fontId="0" fillId="33" borderId="12" xfId="0" applyNumberFormat="1" applyFont="1" applyFill="1" applyBorder="1" applyAlignment="1">
      <alignment/>
    </xf>
    <xf numFmtId="37" fontId="0" fillId="33" borderId="13"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2"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2" xfId="0" applyNumberFormat="1" applyFont="1" applyBorder="1" applyAlignment="1" applyProtection="1">
      <alignment/>
      <protection/>
    </xf>
    <xf numFmtId="37" fontId="0" fillId="0" borderId="20"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49" fontId="0" fillId="0" borderId="0" xfId="0" applyNumberFormat="1" applyFont="1" applyAlignment="1">
      <alignment horizontal="right"/>
    </xf>
    <xf numFmtId="37" fontId="0" fillId="0" borderId="12"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locked="0"/>
    </xf>
    <xf numFmtId="37" fontId="0" fillId="0" borderId="14" xfId="0" applyNumberFormat="1" applyFont="1" applyFill="1" applyBorder="1" applyAlignment="1">
      <alignment/>
    </xf>
    <xf numFmtId="0" fontId="0" fillId="0" borderId="0" xfId="0" applyFont="1" applyAlignment="1">
      <alignment vertical="top"/>
    </xf>
    <xf numFmtId="0" fontId="0" fillId="0" borderId="0" xfId="57" applyFont="1" applyAlignment="1" applyProtection="1">
      <alignment horizontal="justify" wrapText="1"/>
      <protection/>
    </xf>
    <xf numFmtId="37" fontId="0" fillId="0" borderId="19" xfId="0" applyNumberFormat="1" applyFont="1" applyBorder="1" applyAlignment="1" applyProtection="1">
      <alignment/>
      <protection locked="0"/>
    </xf>
    <xf numFmtId="37" fontId="0" fillId="0" borderId="19" xfId="0" applyNumberFormat="1" applyFont="1" applyBorder="1" applyAlignment="1" applyProtection="1">
      <alignment/>
      <protection/>
    </xf>
    <xf numFmtId="0" fontId="1" fillId="0" borderId="21" xfId="0" applyFont="1" applyBorder="1" applyAlignment="1">
      <alignment/>
    </xf>
    <xf numFmtId="49" fontId="0" fillId="0" borderId="0" xfId="0" applyNumberFormat="1" applyFont="1" applyAlignment="1">
      <alignment horizontal="left"/>
    </xf>
    <xf numFmtId="37" fontId="0" fillId="0" borderId="12" xfId="0" applyNumberFormat="1" applyFont="1" applyFill="1" applyBorder="1" applyAlignment="1">
      <alignment/>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19"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7" xfId="57" applyFont="1" applyBorder="1" applyAlignment="1" applyProtection="1">
      <alignment horizontal="centerContinuous"/>
      <protection/>
    </xf>
    <xf numFmtId="0" fontId="0" fillId="0" borderId="22" xfId="57" applyFont="1" applyBorder="1" applyAlignment="1" applyProtection="1">
      <alignment horizontal="centerContinuous"/>
      <protection/>
    </xf>
    <xf numFmtId="0" fontId="0" fillId="0" borderId="18" xfId="57" applyFont="1" applyBorder="1" applyAlignment="1" applyProtection="1">
      <alignment horizontal="centerContinuous"/>
      <protection/>
    </xf>
    <xf numFmtId="0" fontId="0" fillId="0" borderId="13" xfId="57" applyFont="1" applyBorder="1" applyAlignment="1" applyProtection="1">
      <alignment horizontal="centerContinuous"/>
      <protection/>
    </xf>
    <xf numFmtId="0" fontId="0" fillId="0" borderId="17" xfId="57" applyFont="1" applyBorder="1" applyAlignment="1" applyProtection="1">
      <alignment horizontal="center"/>
      <protection/>
    </xf>
    <xf numFmtId="0" fontId="1" fillId="0" borderId="23" xfId="57" applyFont="1" applyFill="1" applyBorder="1" applyProtection="1">
      <alignment/>
      <protection/>
    </xf>
    <xf numFmtId="0" fontId="0" fillId="0" borderId="24" xfId="57" applyFont="1" applyBorder="1" applyProtection="1">
      <alignment/>
      <protection/>
    </xf>
    <xf numFmtId="0" fontId="0" fillId="0" borderId="25" xfId="57" applyFont="1" applyBorder="1" applyAlignment="1" applyProtection="1">
      <alignment horizontal="center"/>
      <protection/>
    </xf>
    <xf numFmtId="0" fontId="0" fillId="0" borderId="23" xfId="57" applyFont="1" applyBorder="1" applyAlignment="1" applyProtection="1">
      <alignment horizontal="center"/>
      <protection/>
    </xf>
    <xf numFmtId="0" fontId="0" fillId="0" borderId="21"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19" xfId="57" applyFont="1" applyBorder="1" applyAlignment="1" applyProtection="1">
      <alignment horizontal="center"/>
      <protection/>
    </xf>
    <xf numFmtId="0" fontId="0" fillId="0" borderId="21" xfId="57" applyFont="1" applyBorder="1" applyAlignment="1" applyProtection="1">
      <alignment horizontal="center"/>
      <protection/>
    </xf>
    <xf numFmtId="0" fontId="1" fillId="0" borderId="23" xfId="57" applyFont="1" applyBorder="1" applyProtection="1">
      <alignment/>
      <protection/>
    </xf>
    <xf numFmtId="0" fontId="0" fillId="0" borderId="23" xfId="57" applyFont="1" applyBorder="1" applyProtection="1">
      <alignment/>
      <protection/>
    </xf>
    <xf numFmtId="167" fontId="0" fillId="0" borderId="0" xfId="57" applyNumberFormat="1" applyFont="1" applyBorder="1" applyProtection="1">
      <alignment/>
      <protection/>
    </xf>
    <xf numFmtId="38" fontId="0" fillId="0" borderId="19"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19" xfId="57" applyNumberFormat="1" applyFont="1" applyBorder="1" applyAlignment="1" applyProtection="1">
      <alignment/>
      <protection/>
    </xf>
    <xf numFmtId="49" fontId="0" fillId="0" borderId="0" xfId="57" applyNumberFormat="1" applyFont="1" applyProtection="1">
      <alignment/>
      <protection/>
    </xf>
    <xf numFmtId="37" fontId="0" fillId="0" borderId="12" xfId="57" applyNumberFormat="1" applyFont="1" applyFill="1" applyBorder="1" applyProtection="1">
      <alignment/>
      <protection locked="0"/>
    </xf>
    <xf numFmtId="37" fontId="0" fillId="0" borderId="12" xfId="57" applyNumberFormat="1" applyFont="1" applyBorder="1" applyProtection="1">
      <alignment/>
      <protection locked="0"/>
    </xf>
    <xf numFmtId="37" fontId="0" fillId="0" borderId="12" xfId="57" applyNumberFormat="1" applyFont="1" applyBorder="1" applyProtection="1">
      <alignment/>
      <protection/>
    </xf>
    <xf numFmtId="37" fontId="0" fillId="0" borderId="12"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19" xfId="57" applyNumberFormat="1" applyFont="1" applyBorder="1" applyAlignment="1" applyProtection="1">
      <alignment/>
      <protection locked="0"/>
    </xf>
    <xf numFmtId="37" fontId="0" fillId="0" borderId="19" xfId="57" applyNumberFormat="1" applyFont="1" applyBorder="1" applyAlignment="1" applyProtection="1">
      <alignment/>
      <protection/>
    </xf>
    <xf numFmtId="37" fontId="0" fillId="0" borderId="19"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8" fillId="0" borderId="0" xfId="57" applyFont="1" applyProtection="1">
      <alignment/>
      <protection/>
    </xf>
    <xf numFmtId="0" fontId="0" fillId="0" borderId="17" xfId="57" applyFont="1" applyFill="1" applyBorder="1" applyProtection="1">
      <alignment/>
      <protection/>
    </xf>
    <xf numFmtId="0" fontId="0" fillId="0" borderId="22" xfId="57" applyFont="1" applyBorder="1" applyProtection="1">
      <alignment/>
      <protection/>
    </xf>
    <xf numFmtId="0" fontId="0" fillId="0" borderId="13" xfId="57" applyFont="1" applyBorder="1" applyAlignment="1" applyProtection="1">
      <alignment horizontal="center"/>
      <protection/>
    </xf>
    <xf numFmtId="38" fontId="0" fillId="0" borderId="19" xfId="57" applyNumberFormat="1" applyFont="1" applyBorder="1" applyProtection="1">
      <alignment/>
      <protection/>
    </xf>
    <xf numFmtId="0" fontId="0" fillId="0" borderId="0" xfId="57" applyFont="1" applyAlignment="1" applyProtection="1">
      <alignment horizontal="left"/>
      <protection/>
    </xf>
    <xf numFmtId="167" fontId="0" fillId="0" borderId="26" xfId="57" applyNumberFormat="1" applyFont="1" applyBorder="1" applyProtection="1">
      <alignment/>
      <protection/>
    </xf>
    <xf numFmtId="38" fontId="0" fillId="0" borderId="19" xfId="57" applyNumberFormat="1" applyFont="1" applyFill="1" applyBorder="1" applyProtection="1">
      <alignment/>
      <protection/>
    </xf>
    <xf numFmtId="167" fontId="0" fillId="0" borderId="24" xfId="57" applyNumberFormat="1" applyFont="1" applyBorder="1" applyProtection="1">
      <alignment/>
      <protection/>
    </xf>
    <xf numFmtId="0" fontId="0" fillId="0" borderId="1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7" xfId="0" applyFont="1" applyBorder="1" applyAlignment="1" applyProtection="1">
      <alignment/>
      <protection/>
    </xf>
    <xf numFmtId="0" fontId="0" fillId="0" borderId="22"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3" xfId="0" applyFont="1" applyBorder="1" applyAlignment="1" applyProtection="1">
      <alignment/>
      <protection/>
    </xf>
    <xf numFmtId="0" fontId="0" fillId="0" borderId="23" xfId="0" applyFont="1" applyFill="1" applyBorder="1" applyAlignment="1" applyProtection="1">
      <alignment/>
      <protection/>
    </xf>
    <xf numFmtId="38" fontId="0" fillId="0" borderId="12" xfId="0" applyNumberFormat="1" applyFont="1" applyBorder="1" applyAlignment="1" applyProtection="1">
      <alignment/>
      <protection/>
    </xf>
    <xf numFmtId="38" fontId="0" fillId="0" borderId="12" xfId="0" applyNumberFormat="1" applyFont="1" applyBorder="1" applyAlignment="1" applyProtection="1">
      <alignment/>
      <protection locked="0"/>
    </xf>
    <xf numFmtId="38" fontId="0" fillId="0" borderId="19" xfId="0" applyNumberFormat="1" applyFont="1" applyBorder="1" applyAlignment="1" applyProtection="1">
      <alignment/>
      <protection locked="0"/>
    </xf>
    <xf numFmtId="0" fontId="0" fillId="0" borderId="13" xfId="0" applyFont="1" applyBorder="1" applyAlignment="1" applyProtection="1">
      <alignment horizontal="center"/>
      <protection/>
    </xf>
    <xf numFmtId="37" fontId="0" fillId="0" borderId="16" xfId="0" applyNumberFormat="1" applyFont="1" applyFill="1" applyBorder="1" applyAlignment="1">
      <alignment/>
    </xf>
    <xf numFmtId="0" fontId="0" fillId="0" borderId="10" xfId="0" applyFont="1" applyFill="1" applyBorder="1" applyAlignment="1">
      <alignment/>
    </xf>
    <xf numFmtId="37" fontId="0" fillId="0" borderId="27" xfId="0" applyNumberFormat="1" applyFont="1" applyFill="1" applyBorder="1" applyAlignment="1">
      <alignment/>
    </xf>
    <xf numFmtId="37" fontId="0" fillId="0" borderId="12" xfId="0" applyNumberFormat="1" applyFont="1" applyFill="1" applyBorder="1" applyAlignment="1" applyProtection="1">
      <alignment/>
      <protection/>
    </xf>
    <xf numFmtId="167" fontId="0" fillId="0" borderId="0" xfId="57" applyNumberFormat="1" applyFont="1" applyBorder="1" applyAlignment="1" applyProtection="1">
      <alignment horizontal="left"/>
      <protection/>
    </xf>
    <xf numFmtId="0" fontId="1" fillId="0" borderId="17" xfId="57" applyFont="1" applyBorder="1" applyProtection="1">
      <alignment/>
      <protection/>
    </xf>
    <xf numFmtId="167" fontId="0" fillId="0" borderId="18" xfId="57" applyNumberFormat="1" applyFont="1" applyFill="1" applyBorder="1" applyProtection="1">
      <alignment/>
      <protection/>
    </xf>
    <xf numFmtId="184" fontId="0" fillId="34" borderId="0" xfId="0" applyNumberFormat="1" applyFont="1" applyFill="1" applyBorder="1" applyAlignment="1">
      <alignment/>
    </xf>
    <xf numFmtId="184" fontId="0" fillId="34" borderId="10" xfId="0" applyNumberFormat="1" applyFont="1" applyFill="1" applyBorder="1" applyAlignment="1">
      <alignment/>
    </xf>
    <xf numFmtId="184" fontId="0" fillId="34" borderId="23" xfId="0" applyNumberFormat="1" applyFont="1" applyFill="1" applyBorder="1" applyAlignment="1" applyProtection="1">
      <alignment/>
      <protection/>
    </xf>
    <xf numFmtId="184" fontId="0" fillId="34" borderId="23" xfId="0" applyNumberFormat="1" applyFont="1" applyFill="1" applyBorder="1" applyAlignment="1" applyProtection="1">
      <alignment/>
      <protection/>
    </xf>
    <xf numFmtId="184" fontId="0" fillId="34" borderId="21" xfId="0" applyNumberFormat="1" applyFont="1" applyFill="1" applyBorder="1" applyAlignment="1" applyProtection="1">
      <alignment/>
      <protection/>
    </xf>
    <xf numFmtId="38" fontId="0" fillId="0" borderId="19" xfId="57" applyNumberFormat="1" applyFont="1" applyFill="1" applyBorder="1" applyProtection="1">
      <alignment/>
      <protection locked="0"/>
    </xf>
    <xf numFmtId="0" fontId="0" fillId="0" borderId="24"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7" xfId="0" applyFont="1" applyBorder="1" applyAlignment="1" applyProtection="1">
      <alignment/>
      <protection/>
    </xf>
    <xf numFmtId="0" fontId="0" fillId="0" borderId="18" xfId="0" applyFont="1" applyBorder="1" applyAlignment="1" applyProtection="1">
      <alignment/>
      <protection/>
    </xf>
    <xf numFmtId="0" fontId="0" fillId="0" borderId="13" xfId="0" applyFont="1" applyBorder="1" applyAlignment="1" applyProtection="1">
      <alignment/>
      <protection/>
    </xf>
    <xf numFmtId="0" fontId="1" fillId="0" borderId="23"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horizontal="center"/>
      <protection/>
    </xf>
    <xf numFmtId="0" fontId="0" fillId="0" borderId="25"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19" xfId="0" applyFont="1" applyBorder="1" applyAlignment="1" applyProtection="1">
      <alignment horizontal="center"/>
      <protection/>
    </xf>
    <xf numFmtId="167" fontId="0" fillId="0" borderId="18" xfId="0" applyNumberFormat="1" applyFont="1" applyFill="1" applyBorder="1" applyAlignment="1" applyProtection="1">
      <alignment/>
      <protection/>
    </xf>
    <xf numFmtId="167" fontId="0" fillId="0" borderId="24"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1" xfId="0" applyFont="1" applyBorder="1" applyAlignment="1" applyProtection="1">
      <alignment/>
      <protection/>
    </xf>
    <xf numFmtId="0" fontId="0" fillId="0" borderId="28" xfId="0" applyFont="1" applyBorder="1" applyAlignment="1" applyProtection="1">
      <alignment/>
      <protection/>
    </xf>
    <xf numFmtId="0" fontId="0" fillId="0" borderId="11" xfId="0" applyFont="1" applyBorder="1" applyAlignment="1" applyProtection="1">
      <alignment/>
      <protection/>
    </xf>
    <xf numFmtId="167" fontId="0" fillId="0" borderId="29"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0" xfId="0" applyFont="1" applyFill="1" applyBorder="1" applyAlignment="1">
      <alignment/>
    </xf>
    <xf numFmtId="0" fontId="1" fillId="0" borderId="0" xfId="0" applyFont="1" applyFill="1" applyBorder="1" applyAlignment="1">
      <alignment/>
    </xf>
    <xf numFmtId="0" fontId="0" fillId="0" borderId="0" xfId="0" applyFont="1" applyBorder="1" applyAlignment="1">
      <alignment horizontal="left"/>
    </xf>
    <xf numFmtId="0" fontId="1" fillId="0" borderId="0" xfId="0" applyFont="1" applyBorder="1" applyAlignment="1">
      <alignment horizontal="left"/>
    </xf>
    <xf numFmtId="38" fontId="0" fillId="0" borderId="19"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19" xfId="0" applyNumberFormat="1" applyFont="1" applyBorder="1" applyAlignment="1" applyProtection="1">
      <alignment/>
      <protection/>
    </xf>
    <xf numFmtId="0" fontId="0" fillId="0" borderId="10" xfId="0" applyFont="1" applyFill="1" applyBorder="1" applyAlignment="1" applyProtection="1">
      <alignment/>
      <protection/>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49" fontId="0" fillId="0" borderId="0" xfId="0" applyNumberFormat="1" applyFont="1" applyFill="1" applyAlignment="1">
      <alignment/>
    </xf>
    <xf numFmtId="37" fontId="0" fillId="0" borderId="15" xfId="0" applyNumberFormat="1" applyFont="1" applyFill="1" applyBorder="1" applyAlignment="1" applyProtection="1">
      <alignment/>
      <protection/>
    </xf>
    <xf numFmtId="37" fontId="0" fillId="0" borderId="16"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19" xfId="0" applyNumberFormat="1" applyFont="1" applyFill="1" applyBorder="1" applyAlignment="1" applyProtection="1">
      <alignment/>
      <protection/>
    </xf>
    <xf numFmtId="38" fontId="0" fillId="0" borderId="19" xfId="0" applyNumberFormat="1" applyFont="1" applyFill="1" applyBorder="1" applyAlignment="1" applyProtection="1">
      <alignment horizontal="right"/>
      <protection/>
    </xf>
    <xf numFmtId="38" fontId="0" fillId="0" borderId="12"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7" xfId="0" applyFont="1" applyFill="1" applyBorder="1" applyAlignment="1" applyProtection="1">
      <alignment/>
      <protection/>
    </xf>
    <xf numFmtId="0" fontId="0" fillId="0" borderId="22" xfId="0" applyFont="1" applyFill="1" applyBorder="1" applyAlignment="1" applyProtection="1">
      <alignment/>
      <protection/>
    </xf>
    <xf numFmtId="38" fontId="0" fillId="0" borderId="19" xfId="0" applyNumberFormat="1" applyFont="1" applyFill="1" applyBorder="1" applyAlignment="1" applyProtection="1">
      <alignment horizontal="right"/>
      <protection locked="0"/>
    </xf>
    <xf numFmtId="38" fontId="0" fillId="0" borderId="12" xfId="0" applyNumberFormat="1" applyFont="1" applyFill="1" applyBorder="1" applyAlignment="1" applyProtection="1">
      <alignment/>
      <protection locked="0"/>
    </xf>
    <xf numFmtId="38" fontId="0" fillId="0" borderId="19"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8" xfId="0" applyFont="1" applyFill="1" applyBorder="1" applyAlignment="1" applyProtection="1">
      <alignment/>
      <protection/>
    </xf>
    <xf numFmtId="0" fontId="0" fillId="0" borderId="0" xfId="0" applyFont="1" applyFill="1" applyBorder="1" applyAlignment="1">
      <alignment horizontal="left"/>
    </xf>
    <xf numFmtId="37" fontId="0" fillId="0" borderId="15" xfId="0" applyNumberFormat="1" applyFont="1" applyFill="1" applyBorder="1" applyAlignment="1">
      <alignment/>
    </xf>
    <xf numFmtId="37" fontId="0" fillId="0" borderId="27" xfId="0" applyNumberFormat="1" applyFont="1" applyFill="1" applyBorder="1" applyAlignment="1" applyProtection="1">
      <alignment/>
      <protection/>
    </xf>
    <xf numFmtId="37" fontId="0" fillId="33" borderId="14" xfId="0" applyNumberFormat="1" applyFont="1" applyFill="1" applyBorder="1" applyAlignment="1" applyProtection="1">
      <alignment/>
      <protection/>
    </xf>
    <xf numFmtId="37" fontId="0" fillId="33" borderId="15" xfId="0" applyNumberFormat="1" applyFont="1" applyFill="1" applyBorder="1" applyAlignment="1" applyProtection="1">
      <alignment/>
      <protection/>
    </xf>
    <xf numFmtId="0" fontId="0" fillId="0" borderId="23"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2" xfId="0" applyFont="1" applyBorder="1" applyAlignment="1">
      <alignment horizontal="center" wrapText="1"/>
    </xf>
    <xf numFmtId="0" fontId="1" fillId="0" borderId="0" xfId="0" applyFont="1" applyBorder="1" applyAlignment="1" applyProtection="1">
      <alignment/>
      <protection/>
    </xf>
    <xf numFmtId="184" fontId="0" fillId="34" borderId="0" xfId="0" applyNumberFormat="1" applyFont="1" applyFill="1" applyBorder="1" applyAlignment="1" applyProtection="1">
      <alignment/>
      <protection/>
    </xf>
    <xf numFmtId="38" fontId="0" fillId="34" borderId="0" xfId="0" applyNumberFormat="1" applyFont="1" applyFill="1" applyBorder="1" applyAlignment="1" applyProtection="1">
      <alignment horizontal="right"/>
      <protection/>
    </xf>
    <xf numFmtId="0" fontId="0" fillId="0" borderId="21" xfId="0" applyBorder="1" applyAlignment="1">
      <alignment/>
    </xf>
    <xf numFmtId="0" fontId="1" fillId="0" borderId="23" xfId="0" applyFont="1" applyFill="1" applyBorder="1" applyAlignment="1" applyProtection="1">
      <alignment/>
      <protection/>
    </xf>
    <xf numFmtId="38" fontId="0" fillId="0" borderId="13"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19" xfId="0" applyFont="1" applyBorder="1" applyAlignment="1" applyProtection="1">
      <alignment horizontal="center" vertical="center"/>
      <protection/>
    </xf>
    <xf numFmtId="38" fontId="0" fillId="35" borderId="12" xfId="0" applyNumberFormat="1" applyFont="1" applyFill="1" applyBorder="1" applyAlignment="1" applyProtection="1">
      <alignment/>
      <protection/>
    </xf>
    <xf numFmtId="0" fontId="0" fillId="36" borderId="13" xfId="0" applyFill="1" applyBorder="1" applyAlignment="1" applyProtection="1">
      <alignment horizontal="center"/>
      <protection/>
    </xf>
    <xf numFmtId="0" fontId="0" fillId="36" borderId="19" xfId="0"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5" borderId="12" xfId="0" applyNumberFormat="1" applyFont="1" applyFill="1" applyBorder="1" applyAlignment="1" applyProtection="1">
      <alignment/>
      <protection/>
    </xf>
    <xf numFmtId="0" fontId="0" fillId="35" borderId="12" xfId="0" applyFill="1" applyBorder="1" applyAlignment="1">
      <alignment/>
    </xf>
    <xf numFmtId="167" fontId="0" fillId="35" borderId="26" xfId="0" applyNumberFormat="1" applyFont="1" applyFill="1" applyBorder="1" applyAlignment="1" applyProtection="1">
      <alignment/>
      <protection/>
    </xf>
    <xf numFmtId="38" fontId="0" fillId="35" borderId="19" xfId="0" applyNumberFormat="1" applyFont="1" applyFill="1" applyBorder="1" applyAlignment="1" applyProtection="1">
      <alignment/>
      <protection/>
    </xf>
    <xf numFmtId="0" fontId="0" fillId="35" borderId="12" xfId="0" applyFill="1" applyBorder="1" applyAlignment="1" applyProtection="1">
      <alignment/>
      <protection/>
    </xf>
    <xf numFmtId="38" fontId="0" fillId="35" borderId="13" xfId="0" applyNumberFormat="1" applyFont="1" applyFill="1" applyBorder="1" applyAlignment="1" applyProtection="1">
      <alignment/>
      <protection/>
    </xf>
    <xf numFmtId="0" fontId="0" fillId="35" borderId="13" xfId="0" applyFill="1" applyBorder="1" applyAlignment="1" applyProtection="1">
      <alignment/>
      <protection/>
    </xf>
    <xf numFmtId="38" fontId="0" fillId="35" borderId="17" xfId="0" applyNumberFormat="1" applyFont="1" applyFill="1" applyBorder="1" applyAlignment="1" applyProtection="1">
      <alignment/>
      <protection/>
    </xf>
    <xf numFmtId="167" fontId="0" fillId="35" borderId="23" xfId="0" applyNumberFormat="1" applyFont="1" applyFill="1" applyBorder="1" applyAlignment="1" applyProtection="1">
      <alignment/>
      <protection/>
    </xf>
    <xf numFmtId="167" fontId="0" fillId="35" borderId="21" xfId="0" applyNumberFormat="1" applyFont="1" applyFill="1" applyBorder="1" applyAlignment="1" applyProtection="1">
      <alignment/>
      <protection/>
    </xf>
    <xf numFmtId="0" fontId="0" fillId="0" borderId="17" xfId="0" applyFont="1" applyBorder="1" applyAlignment="1" applyProtection="1">
      <alignment horizontal="center"/>
      <protection/>
    </xf>
    <xf numFmtId="38" fontId="0" fillId="0" borderId="29"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3" xfId="0" applyFont="1" applyBorder="1" applyAlignment="1" applyProtection="1">
      <alignment/>
      <protection/>
    </xf>
    <xf numFmtId="0" fontId="53" fillId="0" borderId="0" xfId="0" applyFont="1" applyFill="1" applyBorder="1" applyAlignment="1" applyProtection="1">
      <alignment vertical="top"/>
      <protection/>
    </xf>
    <xf numFmtId="0" fontId="0" fillId="0" borderId="17" xfId="57" applyFont="1" applyBorder="1" applyAlignment="1" applyProtection="1">
      <alignment/>
      <protection/>
    </xf>
    <xf numFmtId="38" fontId="0" fillId="0" borderId="28" xfId="57" applyNumberFormat="1" applyFont="1" applyFill="1" applyBorder="1" applyAlignment="1" applyProtection="1">
      <alignment/>
      <protection locked="0"/>
    </xf>
    <xf numFmtId="38" fontId="0" fillId="0" borderId="28" xfId="57" applyNumberFormat="1" applyFont="1" applyBorder="1" applyAlignment="1" applyProtection="1">
      <alignment/>
      <protection/>
    </xf>
    <xf numFmtId="184" fontId="0" fillId="34" borderId="25" xfId="0" applyNumberFormat="1" applyFont="1" applyFill="1" applyBorder="1" applyAlignment="1" applyProtection="1">
      <alignment horizontal="center"/>
      <protection/>
    </xf>
    <xf numFmtId="38" fontId="0" fillId="34" borderId="12" xfId="0" applyNumberFormat="1" applyFont="1" applyFill="1" applyBorder="1" applyAlignment="1" applyProtection="1">
      <alignment/>
      <protection locked="0"/>
    </xf>
    <xf numFmtId="38" fontId="0" fillId="34" borderId="12" xfId="0" applyNumberFormat="1" applyFont="1" applyFill="1" applyBorder="1" applyAlignment="1">
      <alignment/>
    </xf>
    <xf numFmtId="38" fontId="0" fillId="34" borderId="12"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18"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2" xfId="0" applyNumberFormat="1" applyBorder="1" applyAlignment="1" applyProtection="1">
      <alignment/>
      <protection/>
    </xf>
    <xf numFmtId="38" fontId="0" fillId="0" borderId="12" xfId="0" applyNumberFormat="1" applyFont="1" applyBorder="1" applyAlignment="1" applyProtection="1">
      <alignment horizontal="right"/>
      <protection locked="0"/>
    </xf>
    <xf numFmtId="38" fontId="7" fillId="0" borderId="12" xfId="0" applyNumberFormat="1" applyFont="1" applyFill="1" applyBorder="1" applyAlignment="1" applyProtection="1">
      <alignment/>
      <protection/>
    </xf>
    <xf numFmtId="38" fontId="0" fillId="0" borderId="25" xfId="57" applyNumberFormat="1" applyFont="1" applyBorder="1" applyAlignment="1" applyProtection="1">
      <alignment/>
      <protection locked="0"/>
    </xf>
    <xf numFmtId="38" fontId="0" fillId="0" borderId="13" xfId="57" applyNumberFormat="1" applyFont="1" applyBorder="1" applyAlignment="1" applyProtection="1">
      <alignment/>
      <protection/>
    </xf>
    <xf numFmtId="38" fontId="0" fillId="0" borderId="13" xfId="57" applyNumberFormat="1" applyFont="1" applyFill="1" applyBorder="1" applyAlignment="1" applyProtection="1">
      <alignment/>
      <protection/>
    </xf>
    <xf numFmtId="38" fontId="0" fillId="0" borderId="13" xfId="0" applyNumberFormat="1" applyFont="1" applyBorder="1" applyAlignment="1" applyProtection="1">
      <alignment/>
      <protection/>
    </xf>
    <xf numFmtId="38" fontId="0" fillId="0" borderId="19" xfId="0" applyNumberFormat="1" applyFont="1" applyBorder="1" applyAlignment="1" applyProtection="1">
      <alignment/>
      <protection locked="0"/>
    </xf>
    <xf numFmtId="38" fontId="0" fillId="0" borderId="25" xfId="0" applyNumberFormat="1" applyFont="1" applyFill="1" applyBorder="1" applyAlignment="1" applyProtection="1">
      <alignment/>
      <protection/>
    </xf>
    <xf numFmtId="38" fontId="0" fillId="0" borderId="25" xfId="0" applyNumberFormat="1" applyFont="1" applyBorder="1" applyAlignment="1" applyProtection="1">
      <alignment/>
      <protection/>
    </xf>
    <xf numFmtId="38" fontId="0" fillId="0" borderId="25" xfId="57" applyNumberFormat="1" applyFont="1" applyBorder="1" applyAlignment="1" applyProtection="1">
      <alignment/>
      <protection/>
    </xf>
    <xf numFmtId="37" fontId="0" fillId="0" borderId="19" xfId="57" applyNumberFormat="1" applyFont="1" applyFill="1" applyBorder="1" applyAlignment="1" applyProtection="1">
      <alignment/>
      <protection locked="0"/>
    </xf>
    <xf numFmtId="38" fontId="0" fillId="0" borderId="19" xfId="57" applyNumberFormat="1" applyFont="1" applyFill="1" applyBorder="1" applyAlignment="1" applyProtection="1">
      <alignment/>
      <protection locked="0"/>
    </xf>
    <xf numFmtId="38" fontId="0" fillId="0" borderId="19" xfId="0" applyNumberFormat="1" applyFont="1" applyFill="1" applyBorder="1" applyAlignment="1" applyProtection="1">
      <alignment/>
      <protection locked="0"/>
    </xf>
    <xf numFmtId="38" fontId="0" fillId="36" borderId="13" xfId="0" applyNumberFormat="1" applyFont="1" applyFill="1" applyBorder="1" applyAlignment="1" applyProtection="1">
      <alignment/>
      <protection/>
    </xf>
    <xf numFmtId="38" fontId="0" fillId="36" borderId="25" xfId="0" applyNumberFormat="1" applyFont="1" applyFill="1" applyBorder="1" applyAlignment="1" applyProtection="1">
      <alignment/>
      <protection/>
    </xf>
    <xf numFmtId="38" fontId="0" fillId="36" borderId="19" xfId="0" applyNumberFormat="1" applyFont="1" applyFill="1" applyBorder="1" applyAlignment="1" applyProtection="1">
      <alignment/>
      <protection/>
    </xf>
    <xf numFmtId="0" fontId="0" fillId="36" borderId="13" xfId="0" applyFill="1" applyBorder="1" applyAlignment="1" applyProtection="1">
      <alignment/>
      <protection/>
    </xf>
    <xf numFmtId="0" fontId="0" fillId="36" borderId="19" xfId="0" applyFill="1" applyBorder="1" applyAlignment="1" applyProtection="1">
      <alignment/>
      <protection/>
    </xf>
    <xf numFmtId="0" fontId="0" fillId="36" borderId="12" xfId="0" applyFill="1" applyBorder="1" applyAlignment="1" applyProtection="1">
      <alignment/>
      <protection/>
    </xf>
    <xf numFmtId="0" fontId="0" fillId="36" borderId="25"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38" fontId="0" fillId="35" borderId="19" xfId="57" applyNumberFormat="1" applyFont="1" applyFill="1" applyBorder="1" applyProtection="1">
      <alignment/>
      <protection/>
    </xf>
    <xf numFmtId="37" fontId="0" fillId="37" borderId="12" xfId="0" applyNumberFormat="1" applyFont="1" applyFill="1" applyBorder="1" applyAlignment="1">
      <alignment/>
    </xf>
    <xf numFmtId="184" fontId="0" fillId="34" borderId="0" xfId="0" applyNumberFormat="1" applyFont="1" applyFill="1" applyAlignment="1">
      <alignment/>
    </xf>
    <xf numFmtId="184" fontId="0" fillId="0" borderId="0" xfId="0" applyNumberFormat="1" applyFont="1" applyFill="1" applyAlignment="1">
      <alignment/>
    </xf>
    <xf numFmtId="37" fontId="0" fillId="0" borderId="16" xfId="0" applyNumberFormat="1" applyFont="1" applyBorder="1" applyAlignment="1" applyProtection="1">
      <alignment/>
      <protection/>
    </xf>
    <xf numFmtId="0" fontId="54" fillId="38" borderId="0" xfId="53" applyFont="1" applyFill="1" applyAlignment="1" applyProtection="1">
      <alignment/>
      <protection/>
    </xf>
    <xf numFmtId="37" fontId="0" fillId="0" borderId="0" xfId="0" applyNumberFormat="1" applyFont="1" applyAlignment="1">
      <alignment/>
    </xf>
    <xf numFmtId="0" fontId="1" fillId="0" borderId="0" xfId="0" applyFont="1" applyFill="1" applyAlignment="1">
      <alignment/>
    </xf>
    <xf numFmtId="37" fontId="0" fillId="0" borderId="19" xfId="0" applyNumberFormat="1" applyFont="1" applyFill="1" applyBorder="1" applyAlignment="1">
      <alignment/>
    </xf>
    <xf numFmtId="37" fontId="0" fillId="0" borderId="25" xfId="0" applyNumberFormat="1" applyFont="1" applyFill="1" applyBorder="1" applyAlignment="1" applyProtection="1">
      <alignment/>
      <protection/>
    </xf>
    <xf numFmtId="0" fontId="1" fillId="0" borderId="12" xfId="0" applyFont="1" applyBorder="1" applyAlignment="1">
      <alignment horizontal="center" vertical="center" wrapText="1"/>
    </xf>
    <xf numFmtId="0" fontId="0" fillId="0" borderId="12" xfId="0" applyFont="1" applyBorder="1" applyAlignment="1">
      <alignment vertical="top" wrapText="1"/>
    </xf>
    <xf numFmtId="0" fontId="0" fillId="34" borderId="0" xfId="0" applyNumberFormat="1" applyFont="1" applyFill="1" applyAlignment="1">
      <alignment/>
    </xf>
    <xf numFmtId="184" fontId="0" fillId="34" borderId="12" xfId="0" applyNumberFormat="1" applyFont="1" applyFill="1" applyBorder="1" applyAlignment="1">
      <alignment horizontal="justify" vertical="top" wrapText="1"/>
    </xf>
    <xf numFmtId="184" fontId="0" fillId="34" borderId="13"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4" borderId="12" xfId="0" applyNumberFormat="1" applyFont="1" applyFill="1" applyBorder="1" applyAlignment="1">
      <alignment horizontal="justify" vertical="top"/>
    </xf>
    <xf numFmtId="184" fontId="0" fillId="34" borderId="12" xfId="0" applyNumberFormat="1" applyFont="1" applyFill="1" applyBorder="1" applyAlignment="1">
      <alignment horizontal="center" vertical="top" wrapText="1"/>
    </xf>
    <xf numFmtId="165" fontId="54" fillId="34" borderId="12" xfId="53" applyNumberFormat="1" applyFont="1" applyFill="1" applyBorder="1" applyAlignment="1" applyProtection="1">
      <alignment horizontal="center" vertical="top"/>
      <protection/>
    </xf>
    <xf numFmtId="184" fontId="0" fillId="0" borderId="12" xfId="0" applyNumberFormat="1" applyFont="1" applyFill="1" applyBorder="1" applyAlignment="1">
      <alignment horizontal="center" vertical="top"/>
    </xf>
    <xf numFmtId="184" fontId="0" fillId="0" borderId="12" xfId="0" applyNumberFormat="1" applyFont="1" applyFill="1" applyBorder="1" applyAlignment="1">
      <alignment horizontal="center" vertical="top" wrapText="1"/>
    </xf>
    <xf numFmtId="184" fontId="0" fillId="0" borderId="12" xfId="0" applyNumberFormat="1" applyFont="1" applyFill="1" applyBorder="1" applyAlignment="1">
      <alignment horizontal="justify" vertical="top" wrapText="1"/>
    </xf>
    <xf numFmtId="184" fontId="0" fillId="34" borderId="0" xfId="0" applyNumberFormat="1" applyFont="1" applyFill="1" applyBorder="1" applyAlignment="1">
      <alignment horizontal="justify" vertical="top"/>
    </xf>
    <xf numFmtId="165" fontId="54" fillId="0" borderId="12"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wrapText="1"/>
    </xf>
    <xf numFmtId="0" fontId="0" fillId="0" borderId="0" xfId="0" applyNumberFormat="1" applyFont="1" applyFill="1" applyAlignment="1">
      <alignment/>
    </xf>
    <xf numFmtId="165" fontId="0" fillId="34" borderId="0" xfId="0" applyNumberFormat="1" applyFont="1" applyFill="1" applyBorder="1" applyAlignment="1">
      <alignment horizontal="center" vertical="top"/>
    </xf>
    <xf numFmtId="184" fontId="0" fillId="34" borderId="0" xfId="0" applyNumberFormat="1" applyFont="1" applyFill="1" applyBorder="1" applyAlignment="1">
      <alignment horizontal="center" vertical="top" wrapText="1"/>
    </xf>
    <xf numFmtId="184" fontId="54" fillId="34" borderId="12" xfId="53" applyNumberFormat="1" applyFont="1" applyFill="1" applyBorder="1" applyAlignment="1" applyProtection="1">
      <alignment horizontal="center" vertical="top"/>
      <protection/>
    </xf>
    <xf numFmtId="0" fontId="54" fillId="0" borderId="0" xfId="53" applyFont="1" applyFill="1" applyAlignment="1" applyProtection="1">
      <alignment/>
      <protection/>
    </xf>
    <xf numFmtId="0" fontId="0" fillId="0" borderId="0" xfId="0" applyFont="1" applyFill="1" applyBorder="1" applyAlignment="1">
      <alignment vertical="top"/>
    </xf>
    <xf numFmtId="0" fontId="10" fillId="38" borderId="0" xfId="53" applyFont="1" applyFill="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3" xfId="0" applyNumberFormat="1" applyFont="1" applyFill="1" applyBorder="1" applyAlignment="1" applyProtection="1">
      <alignment/>
      <protection locked="0"/>
    </xf>
    <xf numFmtId="0" fontId="54" fillId="38" borderId="0" xfId="53" applyFont="1" applyFill="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center"/>
      <protection/>
    </xf>
    <xf numFmtId="0" fontId="1" fillId="0" borderId="0" xfId="57" applyFont="1" applyAlignment="1" applyProtection="1">
      <alignment horizontal="right"/>
      <protection/>
    </xf>
    <xf numFmtId="0" fontId="0" fillId="0" borderId="0" xfId="0" applyFont="1" applyAlignment="1">
      <alignment/>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7" xfId="57" applyFont="1" applyFill="1" applyBorder="1" applyProtection="1">
      <alignment/>
      <protection/>
    </xf>
    <xf numFmtId="0" fontId="0" fillId="0" borderId="22" xfId="57" applyFont="1" applyBorder="1" applyProtection="1">
      <alignment/>
      <protection/>
    </xf>
    <xf numFmtId="0" fontId="0" fillId="0" borderId="18" xfId="57" applyFont="1" applyBorder="1" applyProtection="1">
      <alignment/>
      <protection/>
    </xf>
    <xf numFmtId="0" fontId="0" fillId="0" borderId="13" xfId="57" applyFont="1" applyBorder="1" applyAlignment="1" applyProtection="1">
      <alignment horizontal="center"/>
      <protection/>
    </xf>
    <xf numFmtId="0" fontId="1" fillId="0" borderId="23" xfId="57" applyFont="1" applyFill="1" applyBorder="1" applyProtection="1">
      <alignment/>
      <protection/>
    </xf>
    <xf numFmtId="0" fontId="0" fillId="0" borderId="24" xfId="57" applyFont="1" applyBorder="1" applyProtection="1">
      <alignment/>
      <protection/>
    </xf>
    <xf numFmtId="0" fontId="0" fillId="0" borderId="25" xfId="57" applyFont="1" applyBorder="1" applyAlignment="1" applyProtection="1">
      <alignment horizontal="center"/>
      <protection/>
    </xf>
    <xf numFmtId="0" fontId="0" fillId="0" borderId="21"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19" xfId="57" applyFont="1" applyBorder="1" applyAlignment="1" applyProtection="1">
      <alignment horizontal="center"/>
      <protection/>
    </xf>
    <xf numFmtId="0" fontId="1" fillId="0" borderId="23" xfId="57" applyFont="1" applyBorder="1" applyProtection="1">
      <alignment/>
      <protection/>
    </xf>
    <xf numFmtId="167" fontId="0" fillId="0" borderId="0" xfId="57" applyNumberFormat="1" applyFont="1" applyFill="1" applyBorder="1" applyProtection="1">
      <alignment/>
      <protection/>
    </xf>
    <xf numFmtId="38" fontId="0" fillId="0" borderId="13"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0" fillId="0" borderId="23" xfId="57" applyFont="1" applyBorder="1" applyProtection="1">
      <alignment/>
      <protection/>
    </xf>
    <xf numFmtId="38" fontId="0" fillId="0" borderId="25" xfId="57" applyNumberFormat="1" applyFont="1" applyFill="1" applyBorder="1" applyAlignment="1" applyProtection="1">
      <alignment/>
      <protection/>
    </xf>
    <xf numFmtId="167" fontId="0" fillId="0" borderId="0" xfId="57" applyNumberFormat="1" applyFont="1" applyBorder="1" applyProtection="1">
      <alignment/>
      <protection/>
    </xf>
    <xf numFmtId="38" fontId="0" fillId="0" borderId="19" xfId="57" applyNumberFormat="1" applyFont="1" applyFill="1" applyBorder="1" applyAlignment="1" applyProtection="1">
      <alignment/>
      <protection locked="0"/>
    </xf>
    <xf numFmtId="38" fontId="0" fillId="0" borderId="19" xfId="57" applyNumberFormat="1" applyFont="1" applyFill="1" applyBorder="1" applyProtection="1">
      <alignment/>
      <protection/>
    </xf>
    <xf numFmtId="38" fontId="0" fillId="0" borderId="19" xfId="57" applyNumberFormat="1" applyFont="1" applyBorder="1" applyProtection="1">
      <alignment/>
      <protection/>
    </xf>
    <xf numFmtId="167" fontId="0" fillId="0" borderId="23" xfId="57" applyNumberFormat="1" applyFont="1" applyBorder="1" applyAlignment="1" applyProtection="1">
      <alignment horizontal="left"/>
      <protection/>
    </xf>
    <xf numFmtId="0" fontId="0" fillId="0" borderId="23" xfId="57" applyFont="1" applyFill="1" applyBorder="1" applyProtection="1">
      <alignment/>
      <protection/>
    </xf>
    <xf numFmtId="0" fontId="0" fillId="0" borderId="0" xfId="57" applyFont="1" applyFill="1" applyBorder="1" applyProtection="1">
      <alignment/>
      <protection/>
    </xf>
    <xf numFmtId="38" fontId="0" fillId="0" borderId="19" xfId="57" applyNumberFormat="1" applyFont="1" applyBorder="1" applyProtection="1">
      <alignment/>
      <protection locked="0"/>
    </xf>
    <xf numFmtId="38" fontId="0" fillId="0" borderId="12" xfId="57" applyNumberFormat="1" applyFont="1" applyFill="1" applyBorder="1" applyProtection="1">
      <alignment/>
      <protection/>
    </xf>
    <xf numFmtId="0" fontId="0" fillId="0" borderId="10" xfId="57" applyFont="1" applyFill="1" applyBorder="1" applyProtection="1">
      <alignment/>
      <protection/>
    </xf>
    <xf numFmtId="167" fontId="0" fillId="0" borderId="26" xfId="57" applyNumberFormat="1" applyFont="1" applyFill="1" applyBorder="1" applyProtection="1">
      <alignment/>
      <protection/>
    </xf>
    <xf numFmtId="167" fontId="0" fillId="0" borderId="23" xfId="57" applyNumberFormat="1" applyFont="1" applyFill="1" applyBorder="1" applyAlignment="1" applyProtection="1">
      <alignment horizontal="left"/>
      <protection/>
    </xf>
    <xf numFmtId="0" fontId="0" fillId="0" borderId="0" xfId="0" applyFont="1" applyFill="1" applyAlignment="1">
      <alignment/>
    </xf>
    <xf numFmtId="38" fontId="0" fillId="0" borderId="13" xfId="57" applyNumberFormat="1" applyFont="1" applyBorder="1" applyAlignment="1" applyProtection="1">
      <alignment/>
      <protection/>
    </xf>
    <xf numFmtId="38" fontId="0" fillId="0" borderId="19" xfId="57" applyNumberFormat="1" applyFont="1" applyBorder="1" applyAlignment="1" applyProtection="1">
      <alignment/>
      <protection locked="0"/>
    </xf>
    <xf numFmtId="167" fontId="0" fillId="0" borderId="24" xfId="57" applyNumberFormat="1" applyFont="1" applyBorder="1" applyProtection="1">
      <alignment/>
      <protection/>
    </xf>
    <xf numFmtId="0" fontId="0" fillId="0" borderId="17" xfId="57" applyFont="1" applyBorder="1" applyProtection="1">
      <alignment/>
      <protection/>
    </xf>
    <xf numFmtId="38" fontId="0" fillId="0" borderId="19" xfId="57" applyNumberFormat="1" applyFont="1" applyFill="1" applyBorder="1" applyAlignment="1" applyProtection="1">
      <alignment/>
      <protection/>
    </xf>
    <xf numFmtId="38" fontId="0" fillId="0" borderId="19" xfId="57" applyNumberFormat="1" applyFont="1" applyBorder="1" applyAlignment="1" applyProtection="1">
      <alignment/>
      <protection/>
    </xf>
    <xf numFmtId="0" fontId="0" fillId="0" borderId="11" xfId="57" applyFont="1" applyBorder="1" applyProtection="1">
      <alignment/>
      <protection locked="0"/>
    </xf>
    <xf numFmtId="167" fontId="0" fillId="0" borderId="18" xfId="57" applyNumberFormat="1" applyFont="1" applyBorder="1" applyProtection="1">
      <alignment/>
      <protection/>
    </xf>
    <xf numFmtId="38" fontId="0" fillId="0" borderId="26" xfId="57" applyNumberFormat="1" applyFont="1" applyBorder="1" applyAlignment="1" applyProtection="1">
      <alignment horizontal="right"/>
      <protection locked="0"/>
    </xf>
    <xf numFmtId="38" fontId="0" fillId="0" borderId="19" xfId="57" applyNumberFormat="1" applyFont="1" applyBorder="1" applyAlignment="1" applyProtection="1">
      <alignment horizontal="right"/>
      <protection locked="0"/>
    </xf>
    <xf numFmtId="0" fontId="0" fillId="0" borderId="21" xfId="57" applyFont="1" applyFill="1" applyBorder="1" applyProtection="1">
      <alignment/>
      <protection/>
    </xf>
    <xf numFmtId="167" fontId="0" fillId="0" borderId="10" xfId="57" applyNumberFormat="1" applyFont="1" applyFill="1" applyBorder="1" applyProtection="1">
      <alignment/>
      <protection/>
    </xf>
    <xf numFmtId="38" fontId="0" fillId="0" borderId="19" xfId="57" applyNumberFormat="1" applyFont="1" applyFill="1" applyBorder="1" applyAlignment="1" applyProtection="1">
      <alignment horizontal="right"/>
      <protection/>
    </xf>
    <xf numFmtId="0" fontId="0" fillId="0" borderId="11" xfId="57" applyFont="1" applyBorder="1" applyProtection="1">
      <alignment/>
      <protection/>
    </xf>
    <xf numFmtId="167" fontId="0" fillId="0" borderId="10" xfId="57" applyNumberFormat="1" applyFont="1" applyBorder="1" applyProtection="1">
      <alignment/>
      <protection/>
    </xf>
    <xf numFmtId="0" fontId="0" fillId="0" borderId="0" xfId="0" applyFont="1" applyAlignment="1" applyProtection="1">
      <alignment/>
      <protection/>
    </xf>
    <xf numFmtId="0" fontId="0" fillId="0" borderId="17" xfId="0" applyFont="1" applyBorder="1" applyAlignment="1" applyProtection="1">
      <alignment horizontal="centerContinuous"/>
      <protection/>
    </xf>
    <xf numFmtId="0" fontId="0" fillId="0" borderId="22" xfId="0" applyFont="1" applyBorder="1" applyAlignment="1" applyProtection="1">
      <alignment horizontal="centerContinuous"/>
      <protection/>
    </xf>
    <xf numFmtId="0" fontId="0" fillId="0" borderId="18" xfId="0" applyFont="1" applyBorder="1" applyAlignment="1" applyProtection="1">
      <alignment horizontal="centerContinuous"/>
      <protection/>
    </xf>
    <xf numFmtId="0" fontId="0" fillId="0" borderId="0" xfId="0" applyFont="1" applyBorder="1" applyAlignment="1" applyProtection="1">
      <alignment/>
      <protection/>
    </xf>
    <xf numFmtId="0" fontId="0" fillId="0" borderId="0" xfId="0" applyFont="1" applyBorder="1" applyAlignment="1">
      <alignment/>
    </xf>
    <xf numFmtId="0" fontId="0" fillId="0" borderId="0" xfId="0" applyFont="1" applyBorder="1" applyAlignment="1">
      <alignment horizontal="center"/>
    </xf>
    <xf numFmtId="0" fontId="0" fillId="0" borderId="13"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9" xfId="0" applyFont="1" applyBorder="1" applyAlignment="1">
      <alignment horizontal="center"/>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7" xfId="0" applyFont="1" applyBorder="1" applyAlignment="1" applyProtection="1">
      <alignment/>
      <protection/>
    </xf>
    <xf numFmtId="0" fontId="0" fillId="0" borderId="22" xfId="0" applyFont="1" applyBorder="1" applyAlignment="1" applyProtection="1">
      <alignment/>
      <protection/>
    </xf>
    <xf numFmtId="167" fontId="0" fillId="0" borderId="24" xfId="0" applyNumberFormat="1" applyFont="1" applyBorder="1" applyAlignment="1" applyProtection="1">
      <alignment/>
      <protection/>
    </xf>
    <xf numFmtId="38" fontId="0" fillId="0" borderId="19" xfId="0" applyNumberFormat="1" applyFont="1" applyBorder="1" applyAlignment="1" applyProtection="1">
      <alignment/>
      <protection/>
    </xf>
    <xf numFmtId="167" fontId="0" fillId="0" borderId="0" xfId="0" applyNumberFormat="1" applyFont="1" applyBorder="1" applyAlignment="1" applyProtection="1">
      <alignment horizontal="left"/>
      <protection/>
    </xf>
    <xf numFmtId="37" fontId="0" fillId="0" borderId="0" xfId="0" applyNumberFormat="1" applyFont="1" applyBorder="1" applyAlignment="1">
      <alignment/>
    </xf>
    <xf numFmtId="0" fontId="0" fillId="0" borderId="23" xfId="0" applyFont="1" applyBorder="1" applyAlignment="1" applyProtection="1">
      <alignment/>
      <protection/>
    </xf>
    <xf numFmtId="38" fontId="0" fillId="0" borderId="13" xfId="0" applyNumberFormat="1" applyFont="1" applyBorder="1" applyAlignment="1" applyProtection="1">
      <alignment/>
      <protection/>
    </xf>
    <xf numFmtId="38" fontId="0" fillId="0" borderId="19" xfId="0" applyNumberFormat="1" applyFont="1" applyBorder="1" applyAlignment="1" applyProtection="1">
      <alignment/>
      <protection locked="0"/>
    </xf>
    <xf numFmtId="167" fontId="0" fillId="0" borderId="0" xfId="0" applyNumberFormat="1" applyFont="1" applyAlignment="1" applyProtection="1">
      <alignment horizontal="left"/>
      <protection/>
    </xf>
    <xf numFmtId="38" fontId="0" fillId="0" borderId="0" xfId="0" applyNumberFormat="1" applyFont="1" applyBorder="1" applyAlignment="1">
      <alignment/>
    </xf>
    <xf numFmtId="38" fontId="0" fillId="0" borderId="12" xfId="0" applyNumberFormat="1" applyFont="1" applyBorder="1" applyAlignment="1" applyProtection="1">
      <alignment/>
      <protection locked="0"/>
    </xf>
    <xf numFmtId="38" fontId="0" fillId="0" borderId="12" xfId="0" applyNumberFormat="1" applyFont="1" applyBorder="1" applyAlignment="1" applyProtection="1">
      <alignment/>
      <protection/>
    </xf>
    <xf numFmtId="0" fontId="0" fillId="0" borderId="23" xfId="0" applyFont="1" applyFill="1" applyBorder="1" applyAlignment="1" applyProtection="1">
      <alignment/>
      <protection/>
    </xf>
    <xf numFmtId="0" fontId="0" fillId="0" borderId="21" xfId="0" applyFont="1" applyFill="1" applyBorder="1" applyAlignment="1" applyProtection="1">
      <alignment/>
      <protection/>
    </xf>
    <xf numFmtId="0" fontId="0" fillId="0" borderId="10" xfId="0" applyFont="1" applyBorder="1" applyAlignment="1" applyProtection="1">
      <alignment/>
      <protection/>
    </xf>
    <xf numFmtId="167" fontId="0" fillId="0" borderId="10" xfId="0"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lignment/>
    </xf>
    <xf numFmtId="0" fontId="1" fillId="0" borderId="0" xfId="0" applyFont="1" applyBorder="1" applyAlignment="1" applyProtection="1">
      <alignment horizontal="right"/>
      <protection/>
    </xf>
    <xf numFmtId="49" fontId="0" fillId="0" borderId="10" xfId="0" applyNumberFormat="1" applyFont="1" applyBorder="1" applyAlignment="1" applyProtection="1">
      <alignment horizontal="center"/>
      <protection locked="0"/>
    </xf>
    <xf numFmtId="0" fontId="0" fillId="0" borderId="0" xfId="0" applyFont="1" applyAlignment="1" applyProtection="1">
      <alignment/>
      <protection/>
    </xf>
    <xf numFmtId="0" fontId="12" fillId="0" borderId="0" xfId="0" applyFont="1" applyBorder="1" applyAlignment="1" applyProtection="1">
      <alignment horizontal="left"/>
      <protection/>
    </xf>
    <xf numFmtId="0" fontId="0" fillId="0" borderId="0" xfId="0" applyFont="1" applyAlignment="1" applyProtection="1">
      <alignment horizontal="centerContinuous"/>
      <protection/>
    </xf>
    <xf numFmtId="0" fontId="0" fillId="0" borderId="24" xfId="0" applyFont="1" applyBorder="1" applyAlignment="1" applyProtection="1">
      <alignment horizontal="centerContinuous"/>
      <protection/>
    </xf>
    <xf numFmtId="0" fontId="0" fillId="0" borderId="24" xfId="0" applyFont="1" applyBorder="1" applyAlignment="1" applyProtection="1">
      <alignment/>
      <protection/>
    </xf>
    <xf numFmtId="0" fontId="0" fillId="0" borderId="0" xfId="0" applyFont="1" applyBorder="1" applyAlignment="1" applyProtection="1">
      <alignment horizontal="centerContinuous"/>
      <protection/>
    </xf>
    <xf numFmtId="0" fontId="0" fillId="0" borderId="24" xfId="0" applyFont="1" applyBorder="1" applyAlignment="1" applyProtection="1">
      <alignment/>
      <protection/>
    </xf>
    <xf numFmtId="49" fontId="0" fillId="0" borderId="0" xfId="0" applyNumberFormat="1" applyFont="1" applyBorder="1" applyAlignment="1" applyProtection="1">
      <alignment horizontal="right"/>
      <protection/>
    </xf>
    <xf numFmtId="0" fontId="0" fillId="0" borderId="0" xfId="0" applyFont="1" applyAlignment="1" applyProtection="1">
      <alignment/>
      <protection/>
    </xf>
    <xf numFmtId="0" fontId="0" fillId="0" borderId="24" xfId="0" applyFont="1" applyBorder="1" applyAlignment="1" applyProtection="1">
      <alignment horizontal="center" wrapText="1"/>
      <protection/>
    </xf>
    <xf numFmtId="0" fontId="0" fillId="0" borderId="0" xfId="0" applyFont="1" applyBorder="1" applyAlignment="1" applyProtection="1">
      <alignment horizontal="center"/>
      <protection/>
    </xf>
    <xf numFmtId="0" fontId="0" fillId="0" borderId="0" xfId="0" applyFont="1" applyAlignment="1" applyProtection="1">
      <alignment/>
      <protection/>
    </xf>
    <xf numFmtId="164" fontId="0" fillId="0" borderId="10" xfId="0" applyNumberFormat="1" applyFont="1" applyBorder="1" applyAlignment="1" applyProtection="1">
      <alignment horizontal="center"/>
      <protection locked="0"/>
    </xf>
    <xf numFmtId="0" fontId="0" fillId="0" borderId="0" xfId="0" applyFont="1" applyAlignment="1" applyProtection="1">
      <alignment horizontal="justify" vertical="top" wrapText="1"/>
      <protection/>
    </xf>
    <xf numFmtId="0" fontId="0" fillId="0" borderId="0"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0" xfId="0" applyFont="1" applyBorder="1" applyAlignment="1">
      <alignment horizontal="justify" vertical="top"/>
    </xf>
    <xf numFmtId="0" fontId="0" fillId="0" borderId="23"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Border="1" applyAlignment="1" applyProtection="1">
      <alignment/>
      <protection/>
    </xf>
    <xf numFmtId="0" fontId="0" fillId="0" borderId="22" xfId="0" applyFont="1" applyBorder="1" applyAlignment="1" applyProtection="1">
      <alignment/>
      <protection/>
    </xf>
    <xf numFmtId="0" fontId="0" fillId="0" borderId="22" xfId="0" applyFont="1" applyBorder="1" applyAlignment="1" applyProtection="1">
      <alignment/>
      <protection/>
    </xf>
    <xf numFmtId="0" fontId="0" fillId="0" borderId="0" xfId="0" applyFont="1" applyAlignment="1" applyProtection="1">
      <alignment horizontal="right"/>
      <protection/>
    </xf>
    <xf numFmtId="0" fontId="1" fillId="0" borderId="0" xfId="0" applyFont="1" applyAlignment="1">
      <alignment/>
    </xf>
    <xf numFmtId="0" fontId="0" fillId="0" borderId="10" xfId="0" applyFont="1" applyBorder="1" applyAlignment="1">
      <alignment horizontal="center"/>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49" fontId="0" fillId="0" borderId="10" xfId="0" applyNumberFormat="1" applyFont="1" applyBorder="1" applyAlignment="1">
      <alignment horizontal="center"/>
    </xf>
    <xf numFmtId="0" fontId="0" fillId="0" borderId="0" xfId="0" applyFont="1" applyAlignment="1">
      <alignment horizontal="center"/>
    </xf>
    <xf numFmtId="0" fontId="0" fillId="0" borderId="17" xfId="0" applyFont="1" applyBorder="1" applyAlignment="1">
      <alignment/>
    </xf>
    <xf numFmtId="0" fontId="0" fillId="0" borderId="22" xfId="0" applyFont="1" applyBorder="1" applyAlignment="1">
      <alignment/>
    </xf>
    <xf numFmtId="0" fontId="0" fillId="0" borderId="18" xfId="0" applyFont="1" applyBorder="1" applyAlignment="1">
      <alignment/>
    </xf>
    <xf numFmtId="0" fontId="0" fillId="0" borderId="13" xfId="0" applyFont="1" applyBorder="1" applyAlignment="1">
      <alignment horizontal="centerContinuous"/>
    </xf>
    <xf numFmtId="0" fontId="0" fillId="0" borderId="13" xfId="0" applyFont="1" applyBorder="1" applyAlignment="1">
      <alignment horizontal="center"/>
    </xf>
    <xf numFmtId="0" fontId="0" fillId="0" borderId="18" xfId="0" applyFont="1" applyBorder="1" applyAlignment="1">
      <alignment horizontal="centerContinuous"/>
    </xf>
    <xf numFmtId="0" fontId="0" fillId="0" borderId="17" xfId="0" applyFont="1" applyBorder="1" applyAlignment="1">
      <alignment horizontal="centerContinuous"/>
    </xf>
    <xf numFmtId="0" fontId="55" fillId="38" borderId="23" xfId="53" applyFont="1" applyFill="1" applyBorder="1" applyAlignment="1" applyProtection="1">
      <alignment/>
      <protection/>
    </xf>
    <xf numFmtId="0" fontId="0" fillId="0" borderId="24" xfId="0" applyFont="1" applyBorder="1" applyAlignment="1">
      <alignment/>
    </xf>
    <xf numFmtId="0" fontId="0" fillId="0" borderId="23" xfId="0" applyFont="1" applyBorder="1" applyAlignment="1">
      <alignment horizontal="center"/>
    </xf>
    <xf numFmtId="0" fontId="0" fillId="0" borderId="25" xfId="0" applyFont="1" applyBorder="1" applyAlignment="1">
      <alignment horizontal="centerContinuous"/>
    </xf>
    <xf numFmtId="0" fontId="0" fillId="0" borderId="25" xfId="0" applyFont="1" applyBorder="1" applyAlignment="1">
      <alignment horizontal="center"/>
    </xf>
    <xf numFmtId="0" fontId="0" fillId="0" borderId="24" xfId="0" applyFont="1" applyBorder="1" applyAlignment="1">
      <alignment horizontal="centerContinuous"/>
    </xf>
    <xf numFmtId="0" fontId="1" fillId="0" borderId="21" xfId="0" applyFont="1" applyBorder="1" applyAlignment="1">
      <alignment/>
    </xf>
    <xf numFmtId="0" fontId="0" fillId="0" borderId="10" xfId="0" applyFont="1" applyBorder="1" applyAlignment="1">
      <alignment/>
    </xf>
    <xf numFmtId="0" fontId="0" fillId="0" borderId="26"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26" xfId="0" applyFont="1" applyBorder="1" applyAlignment="1">
      <alignment horizontal="center"/>
    </xf>
    <xf numFmtId="0" fontId="0" fillId="0" borderId="21" xfId="0" applyFont="1" applyBorder="1" applyAlignment="1">
      <alignment horizontal="center" wrapText="1"/>
    </xf>
    <xf numFmtId="0" fontId="1" fillId="0" borderId="17" xfId="0" applyFont="1" applyBorder="1" applyAlignment="1">
      <alignment/>
    </xf>
    <xf numFmtId="37" fontId="0" fillId="0" borderId="13" xfId="0" applyNumberFormat="1" applyFont="1" applyBorder="1" applyAlignment="1" applyProtection="1">
      <alignment/>
      <protection/>
    </xf>
    <xf numFmtId="0" fontId="0" fillId="0" borderId="23" xfId="0" applyFont="1" applyBorder="1" applyAlignment="1">
      <alignment/>
    </xf>
    <xf numFmtId="49" fontId="0" fillId="0" borderId="24" xfId="0" applyNumberFormat="1" applyFont="1" applyBorder="1" applyAlignment="1">
      <alignment horizontal="right"/>
    </xf>
    <xf numFmtId="37" fontId="0" fillId="0" borderId="19" xfId="0" applyNumberFormat="1" applyFont="1" applyFill="1" applyBorder="1" applyAlignment="1" applyProtection="1">
      <alignment/>
      <protection locked="0"/>
    </xf>
    <xf numFmtId="37" fontId="0" fillId="0" borderId="19" xfId="0" applyNumberFormat="1" applyFont="1" applyBorder="1" applyAlignment="1" applyProtection="1">
      <alignment/>
      <protection locked="0"/>
    </xf>
    <xf numFmtId="37" fontId="0" fillId="0" borderId="25" xfId="0" applyNumberFormat="1" applyFont="1" applyBorder="1" applyAlignment="1" applyProtection="1">
      <alignment/>
      <protection locked="0"/>
    </xf>
    <xf numFmtId="37" fontId="0" fillId="0" borderId="19" xfId="0" applyNumberFormat="1" applyFont="1" applyBorder="1" applyAlignment="1" applyProtection="1">
      <alignment/>
      <protection/>
    </xf>
    <xf numFmtId="49" fontId="0" fillId="0" borderId="0" xfId="0" applyNumberFormat="1" applyFont="1" applyAlignment="1">
      <alignment horizontal="left"/>
    </xf>
    <xf numFmtId="37" fontId="0" fillId="0" borderId="17" xfId="0" applyNumberFormat="1" applyFont="1" applyBorder="1" applyAlignment="1" applyProtection="1">
      <alignment/>
      <protection/>
    </xf>
    <xf numFmtId="0" fontId="0" fillId="0" borderId="0" xfId="0" applyFont="1" applyAlignment="1">
      <alignment horizontal="left"/>
    </xf>
    <xf numFmtId="37" fontId="0" fillId="0" borderId="21" xfId="0" applyNumberFormat="1" applyFont="1" applyBorder="1" applyAlignment="1" applyProtection="1">
      <alignment/>
      <protection locked="0"/>
    </xf>
    <xf numFmtId="37" fontId="0" fillId="0" borderId="19" xfId="0" applyNumberFormat="1" applyFont="1" applyBorder="1" applyAlignment="1" applyProtection="1">
      <alignment/>
      <protection locked="0"/>
    </xf>
    <xf numFmtId="37" fontId="0" fillId="0" borderId="12" xfId="0" applyNumberFormat="1" applyFont="1" applyBorder="1" applyAlignment="1" applyProtection="1">
      <alignment/>
      <protection locked="0"/>
    </xf>
    <xf numFmtId="10" fontId="0" fillId="0" borderId="12" xfId="0" applyNumberFormat="1" applyFont="1" applyBorder="1" applyAlignment="1">
      <alignment/>
    </xf>
    <xf numFmtId="37" fontId="0" fillId="0" borderId="26" xfId="0" applyNumberFormat="1" applyFont="1" applyBorder="1" applyAlignment="1" applyProtection="1">
      <alignment/>
      <protection locked="0"/>
    </xf>
    <xf numFmtId="0" fontId="0" fillId="0" borderId="21" xfId="0" applyFont="1" applyBorder="1" applyAlignment="1">
      <alignment/>
    </xf>
    <xf numFmtId="49" fontId="0" fillId="0" borderId="26" xfId="0" applyNumberFormat="1" applyFont="1" applyBorder="1" applyAlignment="1">
      <alignment horizontal="right"/>
    </xf>
    <xf numFmtId="37" fontId="0" fillId="0" borderId="12" xfId="0" applyNumberFormat="1" applyFont="1" applyBorder="1" applyAlignment="1">
      <alignment/>
    </xf>
    <xf numFmtId="37" fontId="0" fillId="0" borderId="12" xfId="0" applyNumberFormat="1" applyFont="1" applyBorder="1" applyAlignment="1" applyProtection="1">
      <alignment/>
      <protection/>
    </xf>
    <xf numFmtId="0" fontId="1" fillId="0" borderId="23" xfId="0" applyFont="1" applyBorder="1" applyAlignment="1">
      <alignment/>
    </xf>
    <xf numFmtId="0" fontId="0" fillId="0" borderId="28" xfId="0" applyFont="1" applyBorder="1" applyAlignment="1">
      <alignment/>
    </xf>
    <xf numFmtId="0" fontId="0" fillId="0" borderId="11" xfId="0" applyFont="1" applyBorder="1" applyAlignment="1">
      <alignment/>
    </xf>
    <xf numFmtId="49" fontId="0" fillId="0" borderId="29" xfId="0" applyNumberFormat="1" applyFont="1" applyBorder="1" applyAlignment="1">
      <alignment horizontal="right"/>
    </xf>
    <xf numFmtId="37" fontId="0" fillId="39" borderId="12" xfId="0" applyNumberFormat="1" applyFont="1" applyFill="1" applyBorder="1" applyAlignment="1" applyProtection="1">
      <alignment/>
      <protection/>
    </xf>
    <xf numFmtId="37" fontId="0" fillId="0" borderId="12" xfId="0" applyNumberFormat="1" applyFont="1" applyFill="1" applyBorder="1" applyAlignment="1" applyProtection="1">
      <alignment/>
      <protection/>
    </xf>
    <xf numFmtId="0" fontId="0" fillId="0" borderId="28" xfId="0" applyFont="1" applyFill="1" applyBorder="1" applyAlignment="1">
      <alignment/>
    </xf>
    <xf numFmtId="0" fontId="0" fillId="0" borderId="11" xfId="0" applyFont="1" applyFill="1" applyBorder="1" applyAlignment="1">
      <alignment/>
    </xf>
    <xf numFmtId="49" fontId="0" fillId="0" borderId="29" xfId="0" applyNumberFormat="1" applyFont="1" applyFill="1" applyBorder="1" applyAlignment="1">
      <alignment horizontal="right"/>
    </xf>
    <xf numFmtId="49" fontId="0" fillId="0" borderId="0" xfId="0" applyNumberFormat="1" applyFont="1" applyFill="1" applyAlignment="1">
      <alignment horizontal="left"/>
    </xf>
    <xf numFmtId="0" fontId="0" fillId="0" borderId="0" xfId="0" applyFont="1" applyFill="1" applyAlignment="1">
      <alignment/>
    </xf>
    <xf numFmtId="0" fontId="54" fillId="38" borderId="28" xfId="53" applyFont="1" applyFill="1" applyBorder="1" applyAlignment="1" applyProtection="1">
      <alignment/>
      <protection/>
    </xf>
    <xf numFmtId="0" fontId="56" fillId="38" borderId="11" xfId="53" applyFont="1" applyFill="1" applyBorder="1" applyAlignment="1" applyProtection="1">
      <alignment/>
      <protection/>
    </xf>
    <xf numFmtId="0" fontId="0" fillId="35" borderId="12" xfId="0" applyFont="1" applyFill="1" applyBorder="1" applyAlignment="1">
      <alignment/>
    </xf>
    <xf numFmtId="37" fontId="0" fillId="0" borderId="12" xfId="0" applyNumberFormat="1" applyFont="1" applyFill="1" applyBorder="1" applyAlignment="1">
      <alignment/>
    </xf>
    <xf numFmtId="0" fontId="1" fillId="0" borderId="0" xfId="0" applyFont="1" applyFill="1"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0" fillId="0" borderId="0" xfId="0" applyFont="1" applyBorder="1" applyAlignment="1">
      <alignment/>
    </xf>
    <xf numFmtId="0" fontId="1" fillId="0" borderId="0" xfId="0" applyFont="1" applyAlignment="1">
      <alignment horizontal="right"/>
    </xf>
    <xf numFmtId="49" fontId="0" fillId="0" borderId="10" xfId="0" applyNumberFormat="1" applyFont="1" applyBorder="1" applyAlignment="1">
      <alignment horizontal="centerContinuous"/>
    </xf>
    <xf numFmtId="0" fontId="0" fillId="0" borderId="0" xfId="0" applyFont="1" applyAlignment="1">
      <alignment horizontal="centerContinuous"/>
    </xf>
    <xf numFmtId="0" fontId="1" fillId="0" borderId="0" xfId="0" applyFont="1" applyAlignment="1">
      <alignment horizontal="centerContinuous"/>
    </xf>
    <xf numFmtId="164" fontId="0" fillId="0" borderId="0" xfId="0" applyNumberFormat="1" applyFont="1" applyFill="1" applyAlignment="1">
      <alignment horizontal="center"/>
    </xf>
    <xf numFmtId="0" fontId="0" fillId="0" borderId="0" xfId="0" applyFont="1" applyFill="1" applyAlignment="1">
      <alignment/>
    </xf>
    <xf numFmtId="0" fontId="0" fillId="0" borderId="0" xfId="0" applyFont="1" applyAlignment="1">
      <alignment horizontal="right"/>
    </xf>
    <xf numFmtId="37" fontId="0" fillId="0" borderId="10" xfId="0" applyNumberFormat="1" applyFont="1" applyBorder="1" applyAlignment="1" applyProtection="1">
      <alignment/>
      <protection/>
    </xf>
    <xf numFmtId="37" fontId="0" fillId="0" borderId="10" xfId="0" applyNumberFormat="1" applyFont="1" applyBorder="1" applyAlignment="1" applyProtection="1">
      <alignment/>
      <protection locked="0"/>
    </xf>
    <xf numFmtId="49" fontId="54" fillId="38" borderId="0" xfId="53" applyNumberFormat="1" applyFont="1" applyFill="1" applyAlignment="1" applyProtection="1">
      <alignment/>
      <protection/>
    </xf>
    <xf numFmtId="0" fontId="54" fillId="38" borderId="0" xfId="53" applyFont="1" applyFill="1" applyAlignment="1" applyProtection="1">
      <alignment/>
      <protection/>
    </xf>
    <xf numFmtId="0" fontId="0" fillId="0" borderId="0" xfId="0" applyFont="1" applyFill="1" applyBorder="1" applyAlignment="1">
      <alignment/>
    </xf>
    <xf numFmtId="164" fontId="0" fillId="0" borderId="0" xfId="0" applyNumberFormat="1" applyFont="1" applyFill="1" applyBorder="1" applyAlignment="1">
      <alignment horizontal="center"/>
    </xf>
    <xf numFmtId="0" fontId="0" fillId="0" borderId="0" xfId="0" applyFont="1" applyFill="1" applyAlignment="1">
      <alignment horizontal="right"/>
    </xf>
    <xf numFmtId="0" fontId="0" fillId="0" borderId="12" xfId="0" applyFont="1" applyFill="1" applyBorder="1" applyAlignment="1">
      <alignment horizontal="center"/>
    </xf>
    <xf numFmtId="37" fontId="0" fillId="0" borderId="0" xfId="0" applyNumberFormat="1" applyFont="1" applyAlignment="1" applyProtection="1">
      <alignment/>
      <protection locked="0"/>
    </xf>
    <xf numFmtId="37" fontId="0" fillId="0" borderId="12" xfId="0" applyNumberFormat="1" applyFont="1" applyFill="1" applyBorder="1" applyAlignment="1" applyProtection="1">
      <alignment/>
      <protection locked="0"/>
    </xf>
    <xf numFmtId="0" fontId="0" fillId="0" borderId="0" xfId="0" applyFont="1" applyAlignment="1" quotePrefix="1">
      <alignment/>
    </xf>
    <xf numFmtId="37" fontId="0" fillId="0" borderId="11" xfId="0" applyNumberFormat="1" applyFont="1" applyBorder="1" applyAlignment="1" applyProtection="1">
      <alignment/>
      <protection locked="0"/>
    </xf>
    <xf numFmtId="37" fontId="0" fillId="0" borderId="15"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4" xfId="0" applyNumberFormat="1" applyFont="1" applyFill="1" applyBorder="1" applyAlignment="1">
      <alignment/>
    </xf>
    <xf numFmtId="49" fontId="0" fillId="0" borderId="0" xfId="0" applyNumberFormat="1" applyFont="1" applyAlignment="1">
      <alignment horizontal="left"/>
    </xf>
    <xf numFmtId="0" fontId="0" fillId="0" borderId="12" xfId="0" applyFont="1" applyBorder="1" applyAlignment="1">
      <alignment horizontal="center"/>
    </xf>
    <xf numFmtId="37" fontId="0" fillId="0" borderId="11" xfId="0" applyNumberFormat="1" applyFont="1" applyBorder="1" applyAlignment="1" applyProtection="1">
      <alignment horizontal="right"/>
      <protection locked="0"/>
    </xf>
    <xf numFmtId="37" fontId="0" fillId="0" borderId="12" xfId="0" applyNumberFormat="1" applyFont="1" applyFill="1" applyBorder="1" applyAlignment="1" applyProtection="1">
      <alignment/>
      <protection/>
    </xf>
    <xf numFmtId="37" fontId="0" fillId="0" borderId="12" xfId="0" applyNumberFormat="1" applyFont="1" applyBorder="1" applyAlignment="1" applyProtection="1">
      <alignment/>
      <protection locked="0"/>
    </xf>
    <xf numFmtId="37" fontId="0" fillId="0" borderId="0" xfId="0" applyNumberFormat="1" applyFont="1" applyBorder="1" applyAlignment="1" applyProtection="1">
      <alignment horizontal="right"/>
      <protection/>
    </xf>
    <xf numFmtId="0" fontId="3" fillId="0" borderId="13" xfId="0" applyFont="1" applyFill="1" applyBorder="1" applyAlignment="1">
      <alignment horizontal="center" wrapText="1"/>
    </xf>
    <xf numFmtId="0" fontId="3" fillId="0" borderId="25" xfId="0" applyFont="1" applyFill="1" applyBorder="1" applyAlignment="1">
      <alignment horizontal="center" wrapText="1"/>
    </xf>
    <xf numFmtId="37" fontId="0" fillId="0" borderId="13" xfId="0" applyNumberFormat="1" applyFont="1" applyBorder="1" applyAlignment="1" applyProtection="1">
      <alignment/>
      <protection locked="0"/>
    </xf>
    <xf numFmtId="0" fontId="3" fillId="0" borderId="19" xfId="0" applyFont="1" applyFill="1" applyBorder="1" applyAlignment="1">
      <alignment horizontal="center" wrapText="1"/>
    </xf>
    <xf numFmtId="0" fontId="0" fillId="0" borderId="0" xfId="0" applyFont="1" applyAlignment="1">
      <alignment/>
    </xf>
    <xf numFmtId="37" fontId="0" fillId="0" borderId="14" xfId="0" applyNumberFormat="1" applyFont="1" applyBorder="1" applyAlignment="1">
      <alignment/>
    </xf>
    <xf numFmtId="37" fontId="0" fillId="0" borderId="12" xfId="0" applyNumberFormat="1" applyFont="1" applyBorder="1" applyAlignment="1" applyProtection="1">
      <alignment horizontal="right"/>
      <protection locked="0"/>
    </xf>
    <xf numFmtId="0" fontId="54" fillId="0" borderId="0" xfId="53" applyFont="1" applyAlignment="1" applyProtection="1">
      <alignment/>
      <protection/>
    </xf>
    <xf numFmtId="37" fontId="0" fillId="0" borderId="0" xfId="0" applyNumberFormat="1" applyFont="1" applyBorder="1" applyAlignment="1" applyProtection="1">
      <alignment/>
      <protection/>
    </xf>
    <xf numFmtId="37" fontId="0" fillId="0" borderId="30" xfId="0" applyNumberFormat="1" applyFont="1" applyBorder="1" applyAlignment="1">
      <alignment/>
    </xf>
    <xf numFmtId="0" fontId="54" fillId="0" borderId="0" xfId="0" applyFont="1" applyAlignment="1">
      <alignment/>
    </xf>
    <xf numFmtId="0" fontId="0" fillId="0" borderId="0" xfId="0" applyNumberFormat="1" applyFont="1" applyBorder="1" applyAlignment="1" applyProtection="1">
      <alignment/>
      <protection/>
    </xf>
    <xf numFmtId="49" fontId="54" fillId="38" borderId="0" xfId="53" applyNumberFormat="1" applyFont="1" applyFill="1" applyBorder="1" applyAlignment="1" applyProtection="1">
      <alignment horizontal="left"/>
      <protection/>
    </xf>
    <xf numFmtId="0" fontId="57" fillId="38" borderId="0" xfId="53" applyFont="1" applyFill="1" applyAlignment="1" applyProtection="1">
      <alignment/>
      <protection/>
    </xf>
    <xf numFmtId="0" fontId="0" fillId="0" borderId="0" xfId="0" applyFont="1" applyFill="1" applyBorder="1" applyAlignment="1">
      <alignment horizontal="right"/>
    </xf>
    <xf numFmtId="37" fontId="0" fillId="0" borderId="10" xfId="0" applyNumberFormat="1" applyFont="1" applyFill="1" applyBorder="1" applyAlignment="1" applyProtection="1">
      <alignment/>
      <protection locked="0"/>
    </xf>
    <xf numFmtId="0" fontId="54" fillId="0" borderId="0" xfId="0" applyFont="1" applyFill="1" applyAlignment="1">
      <alignment/>
    </xf>
    <xf numFmtId="37" fontId="0" fillId="0" borderId="11" xfId="0" applyNumberFormat="1" applyFont="1" applyFill="1" applyBorder="1" applyAlignment="1" applyProtection="1">
      <alignment/>
      <protection locked="0"/>
    </xf>
    <xf numFmtId="49" fontId="0" fillId="0" borderId="0" xfId="0" applyNumberFormat="1" applyFont="1" applyFill="1" applyBorder="1" applyAlignment="1">
      <alignment horizontal="left"/>
    </xf>
    <xf numFmtId="37" fontId="0" fillId="0" borderId="30" xfId="0" applyNumberFormat="1" applyFont="1" applyFill="1" applyBorder="1" applyAlignment="1" applyProtection="1">
      <alignment/>
      <protection/>
    </xf>
    <xf numFmtId="0" fontId="0" fillId="0" borderId="10" xfId="0" applyFont="1" applyBorder="1" applyAlignment="1" applyProtection="1">
      <alignment horizontal="center"/>
      <protection locked="0"/>
    </xf>
    <xf numFmtId="0" fontId="0" fillId="0" borderId="22"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10" xfId="0" applyFont="1" applyBorder="1" applyAlignment="1" applyProtection="1">
      <alignment/>
      <protection locked="0"/>
    </xf>
    <xf numFmtId="0" fontId="0" fillId="0" borderId="22" xfId="0" applyFont="1" applyBorder="1" applyAlignment="1" applyProtection="1">
      <alignment horizontal="center" vertical="top"/>
      <protection/>
    </xf>
    <xf numFmtId="0" fontId="0" fillId="0" borderId="10" xfId="0" applyFont="1" applyBorder="1" applyAlignment="1" applyProtection="1">
      <alignment/>
      <protection/>
    </xf>
    <xf numFmtId="0" fontId="0" fillId="0" borderId="22" xfId="0" applyFont="1" applyBorder="1" applyAlignment="1" applyProtection="1">
      <alignment horizontal="center"/>
      <protection/>
    </xf>
    <xf numFmtId="0" fontId="0" fillId="0" borderId="0" xfId="0" applyFont="1" applyBorder="1" applyAlignment="1" applyProtection="1">
      <alignment/>
      <protection/>
    </xf>
    <xf numFmtId="0" fontId="13" fillId="0" borderId="0" xfId="0" applyFont="1" applyBorder="1" applyAlignment="1" applyProtection="1">
      <alignment horizontal="center"/>
      <protection/>
    </xf>
    <xf numFmtId="0" fontId="14" fillId="0" borderId="0" xfId="0" applyFont="1" applyBorder="1" applyAlignment="1" applyProtection="1">
      <alignment horizontal="center"/>
      <protection/>
    </xf>
    <xf numFmtId="0" fontId="0" fillId="0" borderId="0" xfId="0" applyFont="1" applyFill="1" applyBorder="1" applyAlignment="1" applyProtection="1">
      <alignment horizontal="center" wrapText="1"/>
      <protection/>
    </xf>
    <xf numFmtId="0" fontId="13" fillId="0" borderId="0" xfId="0" applyFont="1" applyFill="1" applyAlignment="1" applyProtection="1">
      <alignment horizontal="center"/>
      <protection/>
    </xf>
    <xf numFmtId="0" fontId="1" fillId="0" borderId="0" xfId="0" applyFont="1" applyBorder="1" applyAlignment="1" applyProtection="1">
      <alignment horizontal="left"/>
      <protection/>
    </xf>
    <xf numFmtId="0" fontId="11"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37" fontId="0" fillId="0" borderId="11" xfId="0" applyNumberFormat="1" applyFont="1" applyBorder="1" applyAlignment="1" applyProtection="1">
      <alignment horizontal="right"/>
      <protection/>
    </xf>
    <xf numFmtId="0" fontId="0" fillId="0" borderId="11" xfId="0" applyFont="1" applyBorder="1" applyAlignment="1" applyProtection="1">
      <alignment horizontal="righ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37" fontId="0" fillId="0" borderId="10" xfId="0" applyNumberFormat="1" applyFont="1" applyBorder="1" applyAlignment="1" applyProtection="1">
      <alignment horizontal="right"/>
      <protection/>
    </xf>
    <xf numFmtId="0" fontId="0" fillId="0" borderId="10" xfId="0" applyFont="1" applyBorder="1" applyAlignment="1" applyProtection="1">
      <alignment horizontal="right"/>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pplyProtection="1">
      <alignment/>
      <protection locked="0"/>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0" fillId="0" borderId="0" xfId="0" applyFont="1" applyAlignment="1">
      <alignment horizontal="left"/>
    </xf>
    <xf numFmtId="37" fontId="0" fillId="0" borderId="13" xfId="0" applyNumberFormat="1" applyFont="1" applyBorder="1" applyAlignment="1" applyProtection="1">
      <alignment/>
      <protection/>
    </xf>
    <xf numFmtId="37" fontId="0" fillId="0" borderId="19"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21" xfId="0" applyNumberFormat="1" applyFont="1" applyBorder="1" applyAlignment="1" applyProtection="1">
      <alignment/>
      <protection/>
    </xf>
    <xf numFmtId="37" fontId="0" fillId="0" borderId="22" xfId="0" applyNumberFormat="1" applyFont="1" applyBorder="1" applyAlignment="1" applyProtection="1">
      <alignment/>
      <protection/>
    </xf>
    <xf numFmtId="37" fontId="0" fillId="0" borderId="10" xfId="0" applyNumberFormat="1" applyFont="1" applyBorder="1" applyAlignment="1" applyProtection="1">
      <alignment/>
      <protection/>
    </xf>
    <xf numFmtId="0" fontId="0" fillId="0" borderId="10" xfId="0" applyFont="1" applyBorder="1" applyAlignment="1">
      <alignment horizontal="center"/>
    </xf>
    <xf numFmtId="0" fontId="0" fillId="0" borderId="18" xfId="0" applyFont="1" applyBorder="1" applyAlignment="1">
      <alignment horizontal="center" wrapText="1"/>
    </xf>
    <xf numFmtId="0" fontId="0" fillId="0" borderId="24" xfId="0" applyFont="1" applyBorder="1" applyAlignment="1">
      <alignment horizontal="center" wrapText="1"/>
    </xf>
    <xf numFmtId="0" fontId="0" fillId="0" borderId="26" xfId="0" applyFont="1" applyBorder="1" applyAlignment="1">
      <alignment horizontal="center" wrapText="1"/>
    </xf>
    <xf numFmtId="0" fontId="0" fillId="0" borderId="13" xfId="0" applyFont="1" applyBorder="1" applyAlignment="1">
      <alignment horizontal="center"/>
    </xf>
    <xf numFmtId="10" fontId="0" fillId="0" borderId="13"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18"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24" xfId="0" applyNumberFormat="1" applyFont="1" applyBorder="1" applyAlignment="1" applyProtection="1">
      <alignment/>
      <protection/>
    </xf>
    <xf numFmtId="37" fontId="0" fillId="0" borderId="26" xfId="0" applyNumberFormat="1" applyFont="1" applyBorder="1" applyAlignment="1" applyProtection="1">
      <alignment/>
      <protection/>
    </xf>
    <xf numFmtId="0" fontId="0" fillId="0" borderId="28" xfId="57" applyFont="1" applyBorder="1" applyAlignment="1" applyProtection="1">
      <alignment horizontal="center"/>
      <protection/>
    </xf>
    <xf numFmtId="0" fontId="0" fillId="0" borderId="29" xfId="57" applyFont="1" applyBorder="1" applyAlignment="1" applyProtection="1">
      <alignment horizontal="center"/>
      <protection/>
    </xf>
    <xf numFmtId="37" fontId="0" fillId="0" borderId="13" xfId="57" applyNumberFormat="1" applyFont="1" applyBorder="1" applyProtection="1">
      <alignment/>
      <protection/>
    </xf>
    <xf numFmtId="37" fontId="0" fillId="0" borderId="25" xfId="57" applyNumberFormat="1" applyFont="1" applyBorder="1" applyProtection="1">
      <alignment/>
      <protection/>
    </xf>
    <xf numFmtId="37" fontId="0" fillId="0" borderId="19" xfId="57" applyNumberFormat="1" applyFont="1" applyBorder="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3" xfId="57" applyFont="1" applyBorder="1" applyAlignment="1" applyProtection="1">
      <alignment horizontal="center" wrapText="1"/>
      <protection/>
    </xf>
    <xf numFmtId="0" fontId="0" fillId="0" borderId="25" xfId="57" applyFont="1" applyBorder="1" applyAlignment="1" applyProtection="1">
      <alignment horizontal="center" wrapText="1"/>
      <protection/>
    </xf>
    <xf numFmtId="0" fontId="0" fillId="0" borderId="19" xfId="57" applyFont="1" applyBorder="1" applyAlignment="1" applyProtection="1">
      <alignment horizontal="center" wrapText="1"/>
      <protection/>
    </xf>
    <xf numFmtId="0" fontId="0" fillId="0" borderId="28" xfId="57" applyFont="1" applyBorder="1" applyAlignment="1" applyProtection="1">
      <alignment horizontal="center"/>
      <protection/>
    </xf>
    <xf numFmtId="0" fontId="0" fillId="0" borderId="29"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38" fontId="0" fillId="0" borderId="13" xfId="57" applyNumberFormat="1" applyFont="1" applyFill="1" applyBorder="1" applyProtection="1">
      <alignment/>
      <protection/>
    </xf>
    <xf numFmtId="38" fontId="0" fillId="0" borderId="25" xfId="57" applyNumberFormat="1" applyFont="1" applyFill="1" applyBorder="1" applyProtection="1">
      <alignment/>
      <protection/>
    </xf>
    <xf numFmtId="38" fontId="0" fillId="0" borderId="19" xfId="57" applyNumberFormat="1" applyFont="1" applyFill="1" applyBorder="1" applyProtection="1">
      <alignment/>
      <protection/>
    </xf>
    <xf numFmtId="38" fontId="0" fillId="0" borderId="13" xfId="57" applyNumberFormat="1" applyFont="1" applyBorder="1" applyAlignment="1" applyProtection="1">
      <alignment/>
      <protection/>
    </xf>
    <xf numFmtId="38" fontId="0" fillId="0" borderId="19" xfId="57" applyNumberFormat="1" applyFont="1" applyBorder="1" applyAlignment="1" applyProtection="1">
      <alignment/>
      <protection/>
    </xf>
    <xf numFmtId="38" fontId="0" fillId="0" borderId="13" xfId="57" applyNumberFormat="1" applyFont="1" applyBorder="1" applyProtection="1">
      <alignment/>
      <protection/>
    </xf>
    <xf numFmtId="38" fontId="0" fillId="0" borderId="25" xfId="57" applyNumberFormat="1" applyFont="1" applyBorder="1" applyProtection="1">
      <alignment/>
      <protection/>
    </xf>
    <xf numFmtId="38" fontId="0" fillId="0" borderId="19" xfId="57" applyNumberFormat="1" applyFont="1" applyBorder="1" applyProtection="1">
      <alignment/>
      <protection/>
    </xf>
    <xf numFmtId="167" fontId="0" fillId="0" borderId="18" xfId="57" applyNumberFormat="1" applyFont="1" applyBorder="1" applyAlignment="1" applyProtection="1">
      <alignment/>
      <protection/>
    </xf>
    <xf numFmtId="167" fontId="0" fillId="0" borderId="26" xfId="57" applyNumberFormat="1" applyFont="1" applyBorder="1" applyAlignment="1" applyProtection="1">
      <alignment/>
      <protection/>
    </xf>
    <xf numFmtId="0" fontId="1" fillId="0" borderId="17" xfId="0" applyFont="1" applyBorder="1" applyAlignment="1" applyProtection="1">
      <alignment horizontal="left" vertical="center"/>
      <protection/>
    </xf>
    <xf numFmtId="0" fontId="1" fillId="0" borderId="22" xfId="0" applyFont="1" applyBorder="1" applyAlignment="1" applyProtection="1">
      <alignment horizontal="left" vertical="center"/>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1"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8" xfId="0" applyFont="1" applyBorder="1" applyAlignment="1">
      <alignment horizontal="left"/>
    </xf>
    <xf numFmtId="0" fontId="0" fillId="0" borderId="11" xfId="0" applyFont="1" applyBorder="1" applyAlignment="1">
      <alignment horizontal="left"/>
    </xf>
    <xf numFmtId="38" fontId="0" fillId="0" borderId="13" xfId="57" applyNumberFormat="1" applyFont="1" applyFill="1" applyBorder="1" applyAlignment="1" applyProtection="1">
      <alignment/>
      <protection/>
    </xf>
    <xf numFmtId="38" fontId="0" fillId="0" borderId="19" xfId="57" applyNumberFormat="1" applyFont="1" applyFill="1" applyBorder="1" applyAlignment="1" applyProtection="1">
      <alignment/>
      <protection/>
    </xf>
    <xf numFmtId="38" fontId="0" fillId="0" borderId="13" xfId="57" applyNumberFormat="1" applyFont="1" applyFill="1" applyBorder="1" applyAlignment="1" applyProtection="1">
      <alignment horizontal="right"/>
      <protection/>
    </xf>
    <xf numFmtId="38" fontId="0" fillId="0" borderId="19" xfId="57" applyNumberFormat="1" applyFont="1" applyFill="1" applyBorder="1" applyAlignment="1" applyProtection="1">
      <alignment horizontal="right"/>
      <protection/>
    </xf>
    <xf numFmtId="0" fontId="0" fillId="0" borderId="10" xfId="57" applyFont="1" applyBorder="1" applyAlignment="1" applyProtection="1">
      <alignment horizontal="center"/>
      <protection/>
    </xf>
    <xf numFmtId="167" fontId="0" fillId="35" borderId="13" xfId="0" applyNumberFormat="1" applyFont="1" applyFill="1" applyBorder="1" applyAlignment="1" applyProtection="1">
      <alignment horizontal="center"/>
      <protection/>
    </xf>
    <xf numFmtId="167" fontId="0" fillId="35" borderId="25" xfId="0" applyNumberFormat="1" applyFont="1" applyFill="1" applyBorder="1" applyAlignment="1" applyProtection="1">
      <alignment horizontal="center"/>
      <protection/>
    </xf>
    <xf numFmtId="167" fontId="0" fillId="35" borderId="19" xfId="0" applyNumberFormat="1" applyFont="1" applyFill="1" applyBorder="1" applyAlignment="1" applyProtection="1">
      <alignment horizontal="center"/>
      <protection/>
    </xf>
    <xf numFmtId="0" fontId="0" fillId="35" borderId="12" xfId="0" applyFill="1" applyBorder="1" applyAlignment="1" applyProtection="1">
      <alignment horizontal="center"/>
      <protection/>
    </xf>
    <xf numFmtId="0" fontId="0" fillId="35" borderId="13" xfId="0" applyFill="1" applyBorder="1" applyAlignment="1" applyProtection="1">
      <alignment horizontal="center"/>
      <protection/>
    </xf>
    <xf numFmtId="0" fontId="0" fillId="35" borderId="19" xfId="0" applyFill="1" applyBorder="1" applyAlignment="1" applyProtection="1">
      <alignment horizontal="center"/>
      <protection/>
    </xf>
    <xf numFmtId="38" fontId="0" fillId="0" borderId="13" xfId="0" applyNumberFormat="1" applyFont="1" applyBorder="1" applyAlignment="1" applyProtection="1">
      <alignment/>
      <protection/>
    </xf>
    <xf numFmtId="38" fontId="0" fillId="0" borderId="19" xfId="0" applyNumberFormat="1" applyFont="1" applyBorder="1" applyAlignment="1" applyProtection="1">
      <alignment/>
      <protection/>
    </xf>
    <xf numFmtId="38" fontId="0" fillId="35" borderId="13" xfId="0" applyNumberFormat="1" applyFont="1" applyFill="1" applyBorder="1" applyAlignment="1" applyProtection="1">
      <alignment horizontal="center"/>
      <protection/>
    </xf>
    <xf numFmtId="38" fontId="0" fillId="35" borderId="25" xfId="0" applyNumberFormat="1" applyFont="1" applyFill="1" applyBorder="1" applyAlignment="1" applyProtection="1">
      <alignment horizontal="center"/>
      <protection/>
    </xf>
    <xf numFmtId="38" fontId="0" fillId="35" borderId="12" xfId="0" applyNumberFormat="1" applyFont="1"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19" xfId="0" applyFill="1" applyBorder="1" applyAlignment="1" applyProtection="1">
      <alignment horizontal="center"/>
      <protection/>
    </xf>
    <xf numFmtId="38" fontId="0" fillId="0" borderId="13" xfId="0" applyNumberFormat="1" applyFont="1" applyFill="1" applyBorder="1" applyAlignment="1" applyProtection="1">
      <alignment/>
      <protection/>
    </xf>
    <xf numFmtId="38" fontId="0" fillId="0" borderId="25" xfId="0" applyNumberFormat="1" applyFont="1" applyFill="1" applyBorder="1" applyAlignment="1" applyProtection="1">
      <alignment/>
      <protection/>
    </xf>
    <xf numFmtId="38" fontId="0" fillId="0" borderId="19" xfId="0" applyNumberFormat="1" applyFont="1" applyFill="1" applyBorder="1" applyAlignment="1" applyProtection="1">
      <alignment/>
      <protection/>
    </xf>
    <xf numFmtId="38" fontId="0" fillId="0" borderId="25" xfId="0" applyNumberFormat="1" applyFont="1" applyBorder="1" applyAlignment="1" applyProtection="1">
      <alignmen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0" borderId="13" xfId="0" applyNumberFormat="1" applyFont="1" applyFill="1" applyBorder="1" applyAlignment="1" applyProtection="1">
      <alignment horizontal="right"/>
      <protection/>
    </xf>
    <xf numFmtId="38" fontId="0" fillId="0" borderId="25" xfId="0" applyNumberFormat="1" applyFont="1" applyFill="1" applyBorder="1" applyAlignment="1" applyProtection="1">
      <alignment horizontal="right"/>
      <protection/>
    </xf>
    <xf numFmtId="38" fontId="0" fillId="0" borderId="19" xfId="0" applyNumberFormat="1" applyFont="1" applyFill="1" applyBorder="1" applyAlignment="1" applyProtection="1">
      <alignment horizontal="right"/>
      <protection/>
    </xf>
    <xf numFmtId="38" fontId="0" fillId="0" borderId="12" xfId="0" applyNumberFormat="1" applyFont="1" applyFill="1" applyBorder="1" applyAlignment="1" applyProtection="1">
      <alignment/>
      <protection/>
    </xf>
    <xf numFmtId="38" fontId="0" fillId="36" borderId="13" xfId="0" applyNumberFormat="1" applyFont="1" applyFill="1" applyBorder="1" applyAlignment="1" applyProtection="1">
      <alignment horizontal="center"/>
      <protection/>
    </xf>
    <xf numFmtId="38" fontId="0" fillId="36" borderId="19" xfId="0" applyNumberFormat="1" applyFont="1" applyFill="1" applyBorder="1" applyAlignment="1" applyProtection="1">
      <alignment horizontal="center"/>
      <protection/>
    </xf>
    <xf numFmtId="0" fontId="0" fillId="0" borderId="28"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3" xfId="0" applyNumberFormat="1" applyFont="1" applyBorder="1" applyAlignment="1" applyProtection="1">
      <alignment horizontal="right"/>
      <protection/>
    </xf>
    <xf numFmtId="38" fontId="0" fillId="0" borderId="25" xfId="0" applyNumberFormat="1" applyFont="1" applyBorder="1" applyAlignment="1" applyProtection="1">
      <alignment horizontal="right"/>
      <protection/>
    </xf>
    <xf numFmtId="38" fontId="0" fillId="0" borderId="19" xfId="0" applyNumberFormat="1" applyFont="1" applyBorder="1" applyAlignment="1" applyProtection="1">
      <alignment horizontal="right"/>
      <protection/>
    </xf>
    <xf numFmtId="37" fontId="0" fillId="0" borderId="12" xfId="0" applyNumberFormat="1" applyFont="1" applyBorder="1" applyAlignment="1" applyProtection="1">
      <alignment horizontal="right"/>
      <protection locked="0"/>
    </xf>
    <xf numFmtId="0" fontId="3" fillId="0" borderId="21" xfId="0" applyFont="1" applyFill="1" applyBorder="1" applyAlignment="1">
      <alignment horizontal="center" wrapText="1"/>
    </xf>
    <xf numFmtId="0" fontId="3" fillId="0" borderId="10" xfId="0" applyFont="1" applyFill="1" applyBorder="1" applyAlignment="1">
      <alignment horizontal="center" wrapText="1"/>
    </xf>
    <xf numFmtId="0" fontId="3" fillId="0" borderId="26" xfId="0" applyFont="1" applyFill="1" applyBorder="1" applyAlignment="1">
      <alignment horizontal="center" wrapText="1"/>
    </xf>
    <xf numFmtId="37" fontId="0" fillId="0" borderId="28"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37" fontId="0" fillId="0" borderId="29" xfId="0" applyNumberFormat="1" applyFont="1" applyBorder="1" applyAlignment="1" applyProtection="1">
      <alignment horizontal="right"/>
      <protection locked="0"/>
    </xf>
    <xf numFmtId="0" fontId="3" fillId="0" borderId="0" xfId="0" applyFont="1" applyFill="1" applyBorder="1" applyAlignment="1">
      <alignment horizontal="center" wrapText="1"/>
    </xf>
    <xf numFmtId="0" fontId="3" fillId="0" borderId="17" xfId="0" applyFont="1" applyFill="1" applyBorder="1" applyAlignment="1">
      <alignment horizontal="center" wrapText="1"/>
    </xf>
    <xf numFmtId="0" fontId="3" fillId="0" borderId="22" xfId="0" applyFont="1" applyFill="1" applyBorder="1" applyAlignment="1">
      <alignment horizontal="center" wrapText="1"/>
    </xf>
    <xf numFmtId="0" fontId="3" fillId="0" borderId="18" xfId="0" applyFont="1" applyFill="1" applyBorder="1" applyAlignment="1">
      <alignment horizontal="center" wrapText="1"/>
    </xf>
    <xf numFmtId="0" fontId="54" fillId="38" borderId="0" xfId="53" applyFont="1" applyFill="1" applyAlignment="1" applyProtection="1">
      <alignment horizontal="center" vertical="top" wrapText="1"/>
      <protection/>
    </xf>
    <xf numFmtId="0" fontId="54" fillId="38" borderId="24" xfId="53" applyFont="1" applyFill="1" applyBorder="1" applyAlignment="1" applyProtection="1">
      <alignment horizontal="center" vertical="top" wrapText="1"/>
      <protection/>
    </xf>
    <xf numFmtId="0" fontId="0" fillId="0" borderId="10" xfId="0" applyFont="1" applyBorder="1" applyAlignment="1">
      <alignment horizontal="center"/>
    </xf>
    <xf numFmtId="37" fontId="0" fillId="0" borderId="31" xfId="0" applyNumberFormat="1" applyFont="1" applyBorder="1" applyAlignment="1">
      <alignment/>
    </xf>
    <xf numFmtId="37" fontId="0" fillId="0" borderId="16" xfId="0" applyNumberFormat="1" applyFont="1" applyBorder="1" applyAlignment="1">
      <alignment/>
    </xf>
    <xf numFmtId="0" fontId="0" fillId="0" borderId="28" xfId="0" applyFont="1" applyBorder="1" applyAlignment="1">
      <alignment horizontal="center"/>
    </xf>
    <xf numFmtId="0" fontId="0" fillId="0" borderId="11" xfId="0" applyFont="1" applyBorder="1" applyAlignment="1">
      <alignment horizontal="center"/>
    </xf>
    <xf numFmtId="0" fontId="0" fillId="0" borderId="29" xfId="0" applyFont="1" applyBorder="1" applyAlignment="1">
      <alignment horizontal="center"/>
    </xf>
    <xf numFmtId="0" fontId="54" fillId="38" borderId="0" xfId="53" applyFont="1" applyFill="1" applyAlignment="1" applyProtection="1">
      <alignment horizontal="left"/>
      <protection/>
    </xf>
    <xf numFmtId="0" fontId="54" fillId="38" borderId="0" xfId="53" applyFont="1" applyFill="1" applyBorder="1" applyAlignment="1" applyProtection="1">
      <alignment horizontal="left" wrapText="1"/>
      <protection/>
    </xf>
    <xf numFmtId="0" fontId="10" fillId="38" borderId="0" xfId="53" applyFont="1" applyFill="1" applyAlignment="1" applyProtection="1">
      <alignment horizontal="left"/>
      <protection/>
    </xf>
    <xf numFmtId="0" fontId="10" fillId="38" borderId="0" xfId="53" applyFont="1" applyFill="1" applyAlignment="1" applyProtection="1">
      <alignment vertical="top" wrapText="1"/>
      <protection/>
    </xf>
    <xf numFmtId="0" fontId="54" fillId="38" borderId="0" xfId="53" applyFont="1" applyFill="1" applyAlignment="1" applyProtection="1">
      <alignment horizontal="center"/>
      <protection/>
    </xf>
    <xf numFmtId="0" fontId="54" fillId="38" borderId="0" xfId="53" applyFont="1" applyFill="1" applyBorder="1" applyAlignment="1" applyProtection="1">
      <alignment horizontal="center"/>
      <protection/>
    </xf>
    <xf numFmtId="0" fontId="0" fillId="0" borderId="21" xfId="0" applyFont="1" applyBorder="1" applyAlignment="1">
      <alignment horizontal="center"/>
    </xf>
    <xf numFmtId="0" fontId="0" fillId="0" borderId="26" xfId="0" applyFont="1" applyBorder="1" applyAlignment="1">
      <alignment horizontal="center"/>
    </xf>
    <xf numFmtId="184" fontId="10" fillId="34" borderId="17" xfId="53" applyNumberFormat="1" applyFont="1" applyFill="1" applyBorder="1" applyAlignment="1" applyProtection="1">
      <alignment horizontal="center" vertical="center"/>
      <protection/>
    </xf>
    <xf numFmtId="184" fontId="10" fillId="34" borderId="18" xfId="53" applyNumberFormat="1" applyFont="1" applyFill="1" applyBorder="1" applyAlignment="1" applyProtection="1">
      <alignment horizontal="center" vertical="center"/>
      <protection/>
    </xf>
    <xf numFmtId="184" fontId="10" fillId="34" borderId="23" xfId="53" applyNumberFormat="1" applyFont="1" applyFill="1" applyBorder="1" applyAlignment="1" applyProtection="1">
      <alignment horizontal="center" vertical="center"/>
      <protection/>
    </xf>
    <xf numFmtId="184" fontId="10" fillId="34" borderId="24" xfId="53" applyNumberFormat="1" applyFont="1" applyFill="1" applyBorder="1" applyAlignment="1" applyProtection="1">
      <alignment horizontal="center" vertical="center"/>
      <protection/>
    </xf>
    <xf numFmtId="184" fontId="10" fillId="34" borderId="21" xfId="53" applyNumberFormat="1" applyFont="1" applyFill="1" applyBorder="1" applyAlignment="1" applyProtection="1">
      <alignment horizontal="center" vertical="center"/>
      <protection/>
    </xf>
    <xf numFmtId="184" fontId="10" fillId="34" borderId="26" xfId="53" applyNumberFormat="1" applyFont="1" applyFill="1" applyBorder="1" applyAlignment="1" applyProtection="1">
      <alignment horizontal="center" vertical="center"/>
      <protection/>
    </xf>
    <xf numFmtId="0" fontId="1" fillId="0" borderId="0" xfId="0" applyFont="1" applyAlignment="1">
      <alignment horizontal="left"/>
    </xf>
    <xf numFmtId="0" fontId="0" fillId="0" borderId="1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xf>
    <xf numFmtId="49" fontId="0" fillId="0" borderId="10" xfId="0" applyNumberFormat="1" applyFont="1" applyBorder="1" applyAlignment="1">
      <alignment horizontal="center"/>
    </xf>
    <xf numFmtId="49" fontId="0" fillId="0" borderId="1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0" fontId="0" fillId="0" borderId="0" xfId="0" applyFont="1" applyBorder="1" applyAlignment="1">
      <alignment horizontal="center"/>
    </xf>
    <xf numFmtId="184" fontId="1" fillId="34" borderId="0" xfId="0" applyNumberFormat="1" applyFont="1" applyFill="1" applyAlignment="1">
      <alignment horizontal="center"/>
    </xf>
    <xf numFmtId="184" fontId="0" fillId="34" borderId="0" xfId="0" applyNumberFormat="1" applyFont="1" applyFill="1" applyAlignment="1">
      <alignment/>
    </xf>
    <xf numFmtId="0" fontId="1" fillId="0" borderId="0" xfId="0" applyFont="1" applyBorder="1" applyAlignment="1">
      <alignment horizontal="left"/>
    </xf>
    <xf numFmtId="0" fontId="0" fillId="0" borderId="0" xfId="0" applyFont="1" applyAlignment="1">
      <alignment/>
    </xf>
    <xf numFmtId="49" fontId="0" fillId="0" borderId="0" xfId="0" applyNumberFormat="1" applyFont="1" applyBorder="1" applyAlignment="1">
      <alignment horizontal="center"/>
    </xf>
    <xf numFmtId="184" fontId="1" fillId="34" borderId="0" xfId="0" applyNumberFormat="1" applyFont="1" applyFill="1" applyAlignment="1">
      <alignment/>
    </xf>
    <xf numFmtId="184" fontId="1" fillId="34" borderId="0" xfId="0" applyNumberFormat="1" applyFont="1" applyFill="1" applyAlignment="1">
      <alignment horizontal="left"/>
    </xf>
    <xf numFmtId="184" fontId="0" fillId="0" borderId="0" xfId="0" applyNumberFormat="1" applyFont="1" applyFill="1" applyAlignment="1">
      <alignment/>
    </xf>
    <xf numFmtId="184" fontId="0" fillId="34" borderId="0" xfId="0" applyNumberFormat="1" applyFont="1" applyFill="1" applyAlignment="1" applyProtection="1">
      <alignment/>
      <protection/>
    </xf>
    <xf numFmtId="184" fontId="58" fillId="0" borderId="0" xfId="53" applyNumberFormat="1" applyFont="1" applyFill="1" applyAlignment="1" applyProtection="1">
      <alignment/>
      <protection/>
    </xf>
    <xf numFmtId="184" fontId="10" fillId="38" borderId="28" xfId="53" applyNumberFormat="1" applyFont="1" applyFill="1" applyBorder="1" applyAlignment="1" applyProtection="1">
      <alignment horizontal="center"/>
      <protection/>
    </xf>
    <xf numFmtId="184" fontId="10" fillId="38" borderId="11" xfId="53" applyNumberFormat="1" applyFont="1" applyFill="1" applyBorder="1" applyAlignment="1" applyProtection="1">
      <alignment horizontal="center"/>
      <protection/>
    </xf>
    <xf numFmtId="184" fontId="10" fillId="38" borderId="29" xfId="53" applyNumberFormat="1" applyFont="1" applyFill="1" applyBorder="1" applyAlignment="1" applyProtection="1">
      <alignment horizontal="center"/>
      <protection/>
    </xf>
    <xf numFmtId="184" fontId="1" fillId="0" borderId="0" xfId="0" applyNumberFormat="1" applyFont="1" applyFill="1" applyBorder="1" applyAlignment="1">
      <alignment/>
    </xf>
    <xf numFmtId="184" fontId="1" fillId="0" borderId="0" xfId="0" applyNumberFormat="1" applyFont="1" applyFill="1" applyBorder="1" applyAlignment="1" applyProtection="1">
      <alignment/>
      <protection/>
    </xf>
    <xf numFmtId="184" fontId="1" fillId="0" borderId="0" xfId="0" applyNumberFormat="1" applyFont="1" applyFill="1" applyBorder="1" applyAlignment="1">
      <alignment horizontal="center"/>
    </xf>
    <xf numFmtId="184" fontId="1" fillId="34" borderId="0" xfId="0" applyNumberFormat="1" applyFont="1" applyFill="1" applyBorder="1" applyAlignment="1">
      <alignment horizontal="center" vertical="center"/>
    </xf>
    <xf numFmtId="184" fontId="0" fillId="0" borderId="13" xfId="0" applyNumberFormat="1" applyFont="1" applyFill="1" applyBorder="1" applyAlignment="1">
      <alignment horizontal="center"/>
    </xf>
    <xf numFmtId="2" fontId="0" fillId="0" borderId="13" xfId="0" applyNumberFormat="1" applyFont="1" applyFill="1" applyBorder="1" applyAlignment="1">
      <alignment horizontal="center"/>
    </xf>
    <xf numFmtId="49" fontId="0" fillId="0" borderId="13" xfId="0" applyNumberFormat="1" applyFont="1" applyFill="1" applyBorder="1" applyAlignment="1">
      <alignment horizontal="center" wrapText="1"/>
    </xf>
    <xf numFmtId="49" fontId="0" fillId="0" borderId="25" xfId="0" applyNumberFormat="1" applyFont="1" applyFill="1" applyBorder="1" applyAlignment="1">
      <alignment horizontal="center" wrapText="1"/>
    </xf>
    <xf numFmtId="49" fontId="54" fillId="38" borderId="13"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184" fontId="0" fillId="34" borderId="0" xfId="0" applyNumberFormat="1" applyFont="1" applyFill="1" applyAlignment="1" quotePrefix="1">
      <alignment/>
    </xf>
    <xf numFmtId="184" fontId="0" fillId="0" borderId="25" xfId="0" applyNumberFormat="1" applyFont="1" applyFill="1" applyBorder="1" applyAlignment="1">
      <alignment horizontal="center"/>
    </xf>
    <xf numFmtId="2" fontId="0" fillId="0" borderId="25" xfId="0" applyNumberFormat="1" applyFont="1" applyFill="1" applyBorder="1" applyAlignment="1">
      <alignment horizontal="center"/>
    </xf>
    <xf numFmtId="49" fontId="54" fillId="38" borderId="25" xfId="0" applyNumberFormat="1" applyFont="1" applyFill="1" applyBorder="1" applyAlignment="1">
      <alignment horizontal="center" wrapText="1"/>
    </xf>
    <xf numFmtId="1" fontId="0" fillId="0" borderId="25" xfId="0" applyNumberFormat="1" applyFont="1" applyFill="1" applyBorder="1" applyAlignment="1">
      <alignment horizontal="center"/>
    </xf>
    <xf numFmtId="1" fontId="0" fillId="0" borderId="25" xfId="0" applyNumberFormat="1" applyFont="1" applyFill="1" applyBorder="1" applyAlignment="1">
      <alignment horizontal="center" wrapText="1"/>
    </xf>
    <xf numFmtId="2" fontId="54" fillId="38" borderId="25" xfId="53" applyNumberFormat="1" applyFont="1" applyFill="1" applyBorder="1" applyAlignment="1" applyProtection="1">
      <alignment horizontal="center"/>
      <protection/>
    </xf>
    <xf numFmtId="184" fontId="0" fillId="34" borderId="0" xfId="0" applyNumberFormat="1" applyFont="1" applyFill="1" applyAlignment="1" quotePrefix="1">
      <alignment horizontal="left" vertical="center"/>
    </xf>
    <xf numFmtId="184" fontId="1" fillId="0" borderId="0" xfId="0" applyNumberFormat="1" applyFont="1" applyFill="1" applyAlignment="1">
      <alignment horizontal="left"/>
    </xf>
    <xf numFmtId="1" fontId="0" fillId="0" borderId="19" xfId="0" applyNumberFormat="1" applyFont="1" applyFill="1" applyBorder="1" applyAlignment="1" applyProtection="1">
      <alignment horizontal="center"/>
      <protection/>
    </xf>
    <xf numFmtId="1" fontId="0" fillId="0" borderId="19" xfId="0" applyNumberFormat="1" applyFont="1" applyFill="1" applyBorder="1" applyAlignment="1">
      <alignment horizontal="center" wrapText="1"/>
    </xf>
    <xf numFmtId="1" fontId="54" fillId="38" borderId="25" xfId="53"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184" fontId="0" fillId="34" borderId="0" xfId="0" applyNumberFormat="1" applyFont="1" applyFill="1" applyAlignment="1">
      <alignment vertical="center"/>
    </xf>
    <xf numFmtId="184" fontId="0" fillId="34" borderId="0" xfId="0" applyNumberFormat="1" applyFont="1" applyFill="1" applyAlignment="1">
      <alignment horizontal="left"/>
    </xf>
    <xf numFmtId="184" fontId="0" fillId="34" borderId="0" xfId="0" applyNumberFormat="1" applyFont="1" applyFill="1" applyAlignment="1" quotePrefix="1">
      <alignment horizontal="right"/>
    </xf>
    <xf numFmtId="38" fontId="0" fillId="34" borderId="12" xfId="0" applyNumberFormat="1" applyFont="1" applyFill="1" applyBorder="1" applyAlignment="1" applyProtection="1">
      <alignment horizontal="right" vertical="center"/>
      <protection locked="0"/>
    </xf>
    <xf numFmtId="38" fontId="0" fillId="0" borderId="12" xfId="0" applyNumberFormat="1" applyFont="1" applyFill="1" applyBorder="1" applyAlignment="1" applyProtection="1">
      <alignment horizontal="right" vertical="center"/>
      <protection locked="0"/>
    </xf>
    <xf numFmtId="184" fontId="0" fillId="34" borderId="0" xfId="0" applyNumberFormat="1" applyFont="1" applyFill="1" applyBorder="1" applyAlignment="1" quotePrefix="1">
      <alignment/>
    </xf>
    <xf numFmtId="1" fontId="0" fillId="0" borderId="0" xfId="0" applyNumberFormat="1" applyFont="1" applyFill="1" applyBorder="1" applyAlignment="1" applyProtection="1">
      <alignment horizontal="right" vertical="center"/>
      <protection/>
    </xf>
    <xf numFmtId="165" fontId="0" fillId="34" borderId="0" xfId="0" applyNumberFormat="1" applyFont="1" applyFill="1" applyBorder="1" applyAlignment="1">
      <alignment horizontal="right"/>
    </xf>
    <xf numFmtId="184" fontId="0" fillId="34" borderId="0" xfId="0" applyNumberFormat="1" applyFont="1" applyFill="1" applyAlignment="1" quotePrefix="1">
      <alignment/>
    </xf>
    <xf numFmtId="38" fontId="0" fillId="34" borderId="13"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165" fontId="0" fillId="34" borderId="0" xfId="0" applyNumberFormat="1" applyFont="1" applyFill="1" applyBorder="1" applyAlignment="1">
      <alignment horizontal="right"/>
    </xf>
    <xf numFmtId="38" fontId="0" fillId="34" borderId="19" xfId="0" applyNumberFormat="1" applyFont="1" applyFill="1" applyBorder="1" applyAlignment="1" applyProtection="1">
      <alignment/>
      <protection locked="0"/>
    </xf>
    <xf numFmtId="38" fontId="0" fillId="0" borderId="19" xfId="0" applyNumberFormat="1" applyFont="1" applyFill="1" applyBorder="1" applyAlignment="1" applyProtection="1">
      <alignment/>
      <protection locked="0"/>
    </xf>
    <xf numFmtId="1" fontId="0" fillId="34" borderId="0" xfId="0" applyNumberFormat="1" applyFont="1" applyFill="1" applyAlignment="1">
      <alignment horizontal="left"/>
    </xf>
    <xf numFmtId="49" fontId="0" fillId="34" borderId="0" xfId="0" applyNumberFormat="1" applyFont="1" applyFill="1" applyAlignment="1" quotePrefix="1">
      <alignment horizontal="right"/>
    </xf>
    <xf numFmtId="49" fontId="0" fillId="34" borderId="0" xfId="0" applyNumberFormat="1" applyFont="1" applyFill="1" applyAlignment="1" quotePrefix="1">
      <alignment/>
    </xf>
    <xf numFmtId="166" fontId="0" fillId="34" borderId="0" xfId="0" applyNumberFormat="1" applyFont="1" applyFill="1" applyAlignment="1">
      <alignment horizontal="left"/>
    </xf>
    <xf numFmtId="184" fontId="0" fillId="0" borderId="0" xfId="0" applyNumberFormat="1" applyFont="1" applyFill="1" applyAlignment="1">
      <alignment horizontal="left"/>
    </xf>
    <xf numFmtId="38" fontId="0" fillId="34" borderId="12" xfId="0" applyNumberFormat="1" applyFont="1" applyFill="1" applyBorder="1" applyAlignment="1" applyProtection="1">
      <alignment/>
      <protection locked="0"/>
    </xf>
    <xf numFmtId="38" fontId="0" fillId="0" borderId="12" xfId="0" applyNumberFormat="1" applyFont="1" applyFill="1" applyBorder="1" applyAlignment="1" applyProtection="1">
      <alignment/>
      <protection locked="0"/>
    </xf>
    <xf numFmtId="38" fontId="0" fillId="34" borderId="12" xfId="0" applyNumberFormat="1" applyFont="1" applyFill="1" applyBorder="1" applyAlignment="1">
      <alignment/>
    </xf>
    <xf numFmtId="1" fontId="0" fillId="34" borderId="0" xfId="0" applyNumberFormat="1" applyFont="1" applyFill="1" applyBorder="1" applyAlignment="1">
      <alignment horizontal="right"/>
    </xf>
    <xf numFmtId="1" fontId="0" fillId="34" borderId="0" xfId="0" applyNumberFormat="1" applyFont="1" applyFill="1" applyBorder="1" applyAlignment="1">
      <alignment/>
    </xf>
    <xf numFmtId="1" fontId="0" fillId="34" borderId="0" xfId="0" applyNumberFormat="1" applyFont="1" applyFill="1" applyBorder="1" applyAlignment="1" applyProtection="1">
      <alignment/>
      <protection/>
    </xf>
    <xf numFmtId="49" fontId="0" fillId="34" borderId="0" xfId="0" applyNumberFormat="1" applyFont="1" applyFill="1" applyAlignment="1" applyProtection="1" quotePrefix="1">
      <alignment/>
      <protection/>
    </xf>
    <xf numFmtId="1" fontId="0" fillId="34" borderId="0" xfId="0" applyNumberFormat="1" applyFont="1" applyFill="1" applyBorder="1" applyAlignment="1" applyProtection="1">
      <alignment horizontal="right"/>
      <protection/>
    </xf>
    <xf numFmtId="184" fontId="0" fillId="34" borderId="0" xfId="0" applyNumberFormat="1" applyFont="1" applyFill="1" applyBorder="1" applyAlignment="1">
      <alignment/>
    </xf>
    <xf numFmtId="184" fontId="0" fillId="34" borderId="13" xfId="0" applyNumberFormat="1" applyFont="1" applyFill="1" applyBorder="1" applyAlignment="1">
      <alignment horizontal="center"/>
    </xf>
    <xf numFmtId="184" fontId="0" fillId="40" borderId="13" xfId="0" applyNumberFormat="1" applyFont="1" applyFill="1" applyBorder="1" applyAlignment="1">
      <alignment/>
    </xf>
    <xf numFmtId="184" fontId="0" fillId="34" borderId="0" xfId="0" applyNumberFormat="1" applyFont="1" applyFill="1" applyBorder="1" applyAlignment="1" applyProtection="1">
      <alignment/>
      <protection/>
    </xf>
    <xf numFmtId="184" fontId="54" fillId="40" borderId="0" xfId="53" applyNumberFormat="1" applyFont="1" applyFill="1" applyBorder="1" applyAlignment="1" applyProtection="1">
      <alignment/>
      <protection/>
    </xf>
    <xf numFmtId="0" fontId="54" fillId="38" borderId="0" xfId="53" applyFont="1" applyFill="1" applyAlignment="1" applyProtection="1">
      <alignment/>
      <protection/>
    </xf>
    <xf numFmtId="184" fontId="0" fillId="0" borderId="0" xfId="0" applyNumberFormat="1" applyFont="1" applyFill="1" applyBorder="1" applyAlignment="1" applyProtection="1">
      <alignment/>
      <protection/>
    </xf>
    <xf numFmtId="49" fontId="0" fillId="34" borderId="0" xfId="0" applyNumberFormat="1" applyFont="1" applyFill="1" applyBorder="1" applyAlignment="1">
      <alignment horizontal="right"/>
    </xf>
    <xf numFmtId="184" fontId="0" fillId="34" borderId="25" xfId="0" applyNumberFormat="1" applyFont="1" applyFill="1" applyBorder="1" applyAlignment="1">
      <alignment horizontal="center"/>
    </xf>
    <xf numFmtId="184" fontId="0" fillId="40" borderId="25" xfId="0" applyNumberFormat="1" applyFont="1" applyFill="1" applyBorder="1" applyAlignment="1">
      <alignment/>
    </xf>
    <xf numFmtId="184" fontId="0" fillId="34" borderId="0" xfId="0" applyNumberFormat="1" applyFont="1" applyFill="1" applyAlignment="1">
      <alignment horizontal="left"/>
    </xf>
    <xf numFmtId="184" fontId="0" fillId="34" borderId="24" xfId="0" applyNumberFormat="1" applyFont="1" applyFill="1" applyBorder="1" applyAlignment="1">
      <alignment horizontal="left"/>
    </xf>
    <xf numFmtId="184" fontId="54" fillId="40" borderId="25" xfId="53" applyNumberFormat="1" applyFont="1" applyFill="1" applyBorder="1" applyAlignment="1" applyProtection="1">
      <alignment horizontal="center"/>
      <protection/>
    </xf>
    <xf numFmtId="184" fontId="0" fillId="34" borderId="19" xfId="0" applyNumberFormat="1" applyFont="1" applyFill="1" applyBorder="1" applyAlignment="1">
      <alignment horizontal="center"/>
    </xf>
    <xf numFmtId="184" fontId="54" fillId="40" borderId="19" xfId="53" applyNumberFormat="1" applyFont="1" applyFill="1" applyBorder="1" applyAlignment="1" applyProtection="1">
      <alignment horizontal="center"/>
      <protection/>
    </xf>
    <xf numFmtId="184" fontId="0" fillId="34" borderId="0" xfId="0" applyNumberFormat="1" applyFont="1" applyFill="1" applyBorder="1" applyAlignment="1">
      <alignment horizontal="left"/>
    </xf>
    <xf numFmtId="49" fontId="0" fillId="34" borderId="0" xfId="0" applyNumberFormat="1" applyFont="1" applyFill="1" applyBorder="1" applyAlignment="1">
      <alignment horizontal="left"/>
    </xf>
    <xf numFmtId="184" fontId="0" fillId="34" borderId="0" xfId="0" applyNumberFormat="1" applyFont="1" applyFill="1" applyBorder="1" applyAlignment="1" applyProtection="1">
      <alignment/>
      <protection/>
    </xf>
    <xf numFmtId="1" fontId="1" fillId="34" borderId="0" xfId="0" applyNumberFormat="1" applyFont="1" applyFill="1" applyBorder="1" applyAlignment="1" applyProtection="1">
      <alignment/>
      <protection/>
    </xf>
    <xf numFmtId="1" fontId="0" fillId="34" borderId="0" xfId="0" applyNumberFormat="1" applyFont="1" applyFill="1" applyBorder="1" applyAlignment="1" applyProtection="1">
      <alignment horizontal="center"/>
      <protection/>
    </xf>
    <xf numFmtId="49" fontId="0" fillId="34" borderId="0" xfId="0" applyNumberFormat="1" applyFont="1" applyFill="1" applyBorder="1" applyAlignment="1" applyProtection="1">
      <alignment/>
      <protection/>
    </xf>
    <xf numFmtId="184" fontId="0" fillId="34" borderId="0" xfId="0" applyNumberFormat="1" applyFont="1" applyFill="1" applyBorder="1" applyAlignment="1">
      <alignment/>
    </xf>
    <xf numFmtId="184" fontId="0" fillId="34" borderId="12" xfId="0" applyNumberFormat="1" applyFont="1" applyFill="1" applyBorder="1" applyAlignment="1">
      <alignment horizontal="center"/>
    </xf>
    <xf numFmtId="0" fontId="0" fillId="0" borderId="0" xfId="0" applyFont="1" applyFill="1" applyAlignment="1">
      <alignment horizontal="left"/>
    </xf>
    <xf numFmtId="0" fontId="0" fillId="0" borderId="24" xfId="0" applyFont="1" applyFill="1" applyBorder="1" applyAlignment="1">
      <alignment horizontal="left"/>
    </xf>
    <xf numFmtId="38" fontId="0" fillId="34" borderId="19" xfId="0" applyNumberFormat="1" applyFont="1" applyFill="1" applyBorder="1" applyAlignment="1" applyProtection="1">
      <alignment/>
      <protection locked="0"/>
    </xf>
    <xf numFmtId="38" fontId="0" fillId="0" borderId="12" xfId="0" applyNumberFormat="1" applyFont="1" applyBorder="1" applyAlignment="1" applyProtection="1">
      <alignment horizontal="right"/>
      <protection locked="0"/>
    </xf>
    <xf numFmtId="49" fontId="0" fillId="34" borderId="0" xfId="0" applyNumberFormat="1" applyFont="1" applyFill="1" applyBorder="1" applyAlignment="1" applyProtection="1">
      <alignment horizontal="right"/>
      <protection/>
    </xf>
    <xf numFmtId="184" fontId="0" fillId="34" borderId="10" xfId="0" applyNumberFormat="1" applyFont="1" applyFill="1" applyBorder="1" applyAlignment="1">
      <alignment horizontal="center"/>
    </xf>
    <xf numFmtId="184" fontId="0" fillId="0" borderId="0" xfId="0" applyNumberFormat="1" applyFont="1" applyFill="1" applyBorder="1" applyAlignment="1">
      <alignment horizontal="center"/>
    </xf>
    <xf numFmtId="49" fontId="0" fillId="34" borderId="0" xfId="0" applyNumberFormat="1" applyFont="1" applyFill="1" applyAlignment="1" applyProtection="1">
      <alignment/>
      <protection/>
    </xf>
    <xf numFmtId="184" fontId="54" fillId="40" borderId="0" xfId="53" applyNumberFormat="1" applyFont="1" applyFill="1" applyAlignment="1" applyProtection="1">
      <alignment/>
      <protection/>
    </xf>
    <xf numFmtId="184" fontId="54" fillId="40" borderId="0" xfId="0" applyNumberFormat="1" applyFont="1" applyFill="1" applyAlignment="1">
      <alignment/>
    </xf>
    <xf numFmtId="38" fontId="0" fillId="34" borderId="12" xfId="0" applyNumberFormat="1" applyFont="1" applyFill="1" applyBorder="1" applyAlignment="1" applyProtection="1">
      <alignment/>
      <protection locked="0"/>
    </xf>
    <xf numFmtId="184" fontId="0" fillId="34" borderId="24" xfId="0" applyNumberFormat="1" applyFont="1" applyFill="1" applyBorder="1" applyAlignment="1">
      <alignment horizontal="left"/>
    </xf>
    <xf numFmtId="38" fontId="0" fillId="34" borderId="12" xfId="0" applyNumberFormat="1"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114300</xdr:rowOff>
    </xdr:to>
    <xdr:sp>
      <xdr:nvSpPr>
        <xdr:cNvPr id="1" name="TextBox 1">
          <a:hlinkClick r:id="rId1"/>
        </xdr:cNvPr>
        <xdr:cNvSpPr txBox="1">
          <a:spLocks noChangeArrowheads="1"/>
        </xdr:cNvSpPr>
      </xdr:nvSpPr>
      <xdr:spPr>
        <a:xfrm>
          <a:off x="3114675" y="32385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809625</xdr:colOff>
      <xdr:row>4</xdr:row>
      <xdr:rowOff>104775</xdr:rowOff>
    </xdr:to>
    <xdr:sp>
      <xdr:nvSpPr>
        <xdr:cNvPr id="1" name="TextBox 2">
          <a:hlinkClick r:id="rId1"/>
        </xdr:cNvPr>
        <xdr:cNvSpPr txBox="1">
          <a:spLocks noChangeArrowheads="1"/>
        </xdr:cNvSpPr>
      </xdr:nvSpPr>
      <xdr:spPr>
        <a:xfrm>
          <a:off x="66675" y="3048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352425</xdr:colOff>
      <xdr:row>3</xdr:row>
      <xdr:rowOff>28575</xdr:rowOff>
    </xdr:to>
    <xdr:sp>
      <xdr:nvSpPr>
        <xdr:cNvPr id="1" name="TextBox 1">
          <a:hlinkClick r:id="rId1"/>
        </xdr:cNvPr>
        <xdr:cNvSpPr txBox="1">
          <a:spLocks noChangeArrowheads="1"/>
        </xdr:cNvSpPr>
      </xdr:nvSpPr>
      <xdr:spPr>
        <a:xfrm>
          <a:off x="133350" y="238125"/>
          <a:ext cx="9429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114300</xdr:rowOff>
    </xdr:to>
    <xdr:sp>
      <xdr:nvSpPr>
        <xdr:cNvPr id="1" name="TextBox 1">
          <a:hlinkClick r:id="rId1"/>
        </xdr:cNvPr>
        <xdr:cNvSpPr txBox="1">
          <a:spLocks noChangeArrowheads="1"/>
        </xdr:cNvSpPr>
      </xdr:nvSpPr>
      <xdr:spPr>
        <a:xfrm>
          <a:off x="1771650" y="485775"/>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9060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EO\AppData\Local\Temp\Temp1_CSAFR17.zip\afr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EO\AppData\Local\Temp\Temp1_CSAFR17.zip\budget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EO\AppData\Local\Temp\Temp1_CSAFR17.zip\afr17-food%20serv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FP13101399EndBal" refersTo="=Page 9!$L$22"/>
      <definedName name="SEIP1071EndBal" refersTo="=Page 6!$O$26"/>
      <definedName name="SP1000CompInstrProj" refersTo="=Page 2!$J$46"/>
      <definedName name="SP1000P100F2100" refersTo="=Page 2!$J$8"/>
      <definedName name="SP1000P100F2200" refersTo="=Page 2!$J$10"/>
      <definedName name="SP1000P100F2900" refersTo="=Page 2!$J$15"/>
      <definedName name="SP1000P100F3000" refersTo="=Page 2!$J$16"/>
      <definedName name="SP1000P100F4000" refersTo="=Page 2!$J$17"/>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8"/>
      <definedName name="SP1000P530" refersTo="=Page 2!$J$39"/>
      <definedName name="SP1000P540" refersTo="=Page 2!$J$40"/>
      <definedName name="SP1000P550" refersTo="=Page 2!$J$41"/>
      <definedName name="SP1000P610" refersTo="=Page 2!$J$19"/>
      <definedName name="SP1000P620" refersTo="=Page 2!$J$20"/>
      <definedName name="SP1000P630700800900" refersTo="=Page 2!$J$21"/>
      <definedName name="SP1000StruEngImmProj" refersTo="=Page 2!$J$45"/>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3"/>
      <definedName name="StP1465EndBal" refersTo="=Page 9!$L$34"/>
      <definedName name="StP14701499EndBal" refersTo="=Page 9!$L$35"/>
    </definedNames>
    <sheetDataSet>
      <sheetData sheetId="2">
        <row r="8">
          <cell r="J8">
            <v>0</v>
          </cell>
        </row>
        <row r="10">
          <cell r="J10">
            <v>0</v>
          </cell>
        </row>
        <row r="15">
          <cell r="J15">
            <v>0</v>
          </cell>
        </row>
        <row r="16">
          <cell r="J16">
            <v>0</v>
          </cell>
        </row>
        <row r="17">
          <cell r="J17">
            <v>0</v>
          </cell>
        </row>
        <row r="19">
          <cell r="J19">
            <v>0</v>
          </cell>
        </row>
        <row r="20">
          <cell r="J20">
            <v>0</v>
          </cell>
        </row>
        <row r="21">
          <cell r="J21">
            <v>0</v>
          </cell>
        </row>
        <row r="25">
          <cell r="J25">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8">
          <cell r="J38">
            <v>0</v>
          </cell>
        </row>
        <row r="39">
          <cell r="J39">
            <v>0</v>
          </cell>
        </row>
        <row r="40">
          <cell r="J40">
            <v>0</v>
          </cell>
        </row>
        <row r="41">
          <cell r="J41">
            <v>0</v>
          </cell>
        </row>
        <row r="45">
          <cell r="J45">
            <v>0</v>
          </cell>
        </row>
        <row r="46">
          <cell r="J46">
            <v>0</v>
          </cell>
        </row>
      </sheetData>
      <sheetData sheetId="4">
        <row r="38">
          <cell r="F38">
            <v>0</v>
          </cell>
          <cell r="G38">
            <v>0</v>
          </cell>
          <cell r="H38">
            <v>0</v>
          </cell>
        </row>
      </sheetData>
      <sheetData sheetId="5">
        <row r="19">
          <cell r="F19">
            <v>0</v>
          </cell>
        </row>
      </sheetData>
      <sheetData sheetId="6">
        <row r="26">
          <cell r="O26">
            <v>0</v>
          </cell>
        </row>
        <row r="48">
          <cell r="O48">
            <v>0</v>
          </cell>
        </row>
      </sheetData>
      <sheetData sheetId="9">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5">
          <cell r="L25">
            <v>0</v>
          </cell>
        </row>
        <row r="26">
          <cell r="L26">
            <v>0</v>
          </cell>
        </row>
        <row r="27">
          <cell r="L27">
            <v>0</v>
          </cell>
        </row>
        <row r="28">
          <cell r="L28">
            <v>0</v>
          </cell>
        </row>
        <row r="29">
          <cell r="L29">
            <v>0</v>
          </cell>
        </row>
        <row r="30">
          <cell r="L30">
            <v>0</v>
          </cell>
        </row>
        <row r="31">
          <cell r="L31">
            <v>0</v>
          </cell>
        </row>
        <row r="33">
          <cell r="L33">
            <v>0</v>
          </cell>
        </row>
        <row r="34">
          <cell r="L34">
            <v>0</v>
          </cell>
        </row>
        <row r="35">
          <cell r="L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8CIP" refersTo="=Page 2!$E$42"/>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ompInstrProj" refersTo="=Page 1!$L$47"/>
      <definedName name="SP1000P100F2100" refersTo="=Page 1!$L$10"/>
      <definedName name="SP1000P100F2200" refersTo="=Page 1!$L$11"/>
      <definedName name="SP1000P100F2500" refersTo="=Page 1!$L$14"/>
      <definedName name="SP1000P100F2900" refersTo="=Page 1!$L$16"/>
      <definedName name="SP1000P100F4000" refersTo="=Page 1!$L$18"/>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s>
    <sheetDataSet>
      <sheetData sheetId="1">
        <row r="10">
          <cell r="L10">
            <v>0</v>
          </cell>
        </row>
        <row r="11">
          <cell r="L11">
            <v>0</v>
          </cell>
        </row>
        <row r="14">
          <cell r="L14">
            <v>0</v>
          </cell>
        </row>
        <row r="16">
          <cell r="L16">
            <v>0</v>
          </cell>
        </row>
        <row r="18">
          <cell r="L18">
            <v>0</v>
          </cell>
        </row>
        <row r="20">
          <cell r="L20">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3">
        <row r="10">
          <cell r="K10">
            <v>0</v>
          </cell>
        </row>
        <row r="11">
          <cell r="K11">
            <v>0</v>
          </cell>
        </row>
        <row r="14">
          <cell r="K14">
            <v>0</v>
          </cell>
        </row>
        <row r="15">
          <cell r="K15">
            <v>0</v>
          </cell>
        </row>
        <row r="16">
          <cell r="K16">
            <v>0</v>
          </cell>
        </row>
        <row r="19">
          <cell r="K19">
            <v>0</v>
          </cell>
        </row>
        <row r="20">
          <cell r="K20">
            <v>0</v>
          </cell>
        </row>
        <row r="21">
          <cell r="K21">
            <v>0</v>
          </cell>
        </row>
        <row r="27">
          <cell r="K27">
            <v>0</v>
          </cell>
        </row>
        <row r="28">
          <cell r="K28">
            <v>0</v>
          </cell>
        </row>
        <row r="31">
          <cell r="K31">
            <v>0</v>
          </cell>
        </row>
        <row r="32">
          <cell r="K32">
            <v>0</v>
          </cell>
        </row>
        <row r="33">
          <cell r="K33">
            <v>0</v>
          </cell>
        </row>
        <row r="36">
          <cell r="K36">
            <v>0</v>
          </cell>
        </row>
        <row r="37">
          <cell r="K37">
            <v>0</v>
          </cell>
        </row>
        <row r="38">
          <cell r="K38">
            <v>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zoomScalePageLayoutView="90" workbookViewId="0" topLeftCell="A14">
      <selection activeCell="L43" sqref="L43"/>
    </sheetView>
  </sheetViews>
  <sheetFormatPr defaultColWidth="9.33203125" defaultRowHeight="12.75"/>
  <cols>
    <col min="1" max="1" width="9.66015625" style="405" customWidth="1"/>
    <col min="2" max="2" width="6.33203125" style="405" customWidth="1"/>
    <col min="3" max="3" width="5.5" style="405" customWidth="1"/>
    <col min="4" max="4" width="9.66015625" style="405" customWidth="1"/>
    <col min="5" max="5" width="6.33203125" style="405" customWidth="1"/>
    <col min="6" max="6" width="13.16015625" style="405" customWidth="1"/>
    <col min="7" max="7" width="7.83203125" style="405" customWidth="1"/>
    <col min="8" max="8" width="3.5" style="397" customWidth="1"/>
    <col min="9" max="9" width="13.16015625" style="397" customWidth="1"/>
    <col min="10" max="12" width="9.33203125" style="397" customWidth="1"/>
    <col min="13" max="13" width="11" style="397" customWidth="1"/>
    <col min="14" max="14" width="20" style="397" customWidth="1"/>
    <col min="15" max="15" width="17.33203125" style="397" customWidth="1"/>
    <col min="16" max="16" width="7.16015625" style="397" customWidth="1"/>
    <col min="17" max="17" width="3.33203125" style="397" customWidth="1"/>
    <col min="18" max="18" width="16" style="397" customWidth="1"/>
    <col min="19" max="16384" width="9.33203125" style="397" customWidth="1"/>
  </cols>
  <sheetData>
    <row r="1" spans="1:18" ht="12.75" customHeight="1">
      <c r="A1" s="548" t="s">
        <v>0</v>
      </c>
      <c r="B1" s="548"/>
      <c r="C1" s="548"/>
      <c r="D1" s="536" t="s">
        <v>501</v>
      </c>
      <c r="E1" s="536"/>
      <c r="F1" s="536"/>
      <c r="G1" s="536"/>
      <c r="H1" s="536"/>
      <c r="I1" s="536"/>
      <c r="J1" s="391"/>
      <c r="K1" s="392"/>
      <c r="L1" s="393" t="s">
        <v>1</v>
      </c>
      <c r="M1" s="536" t="s">
        <v>502</v>
      </c>
      <c r="N1" s="536"/>
      <c r="O1" s="394"/>
      <c r="P1" s="394"/>
      <c r="Q1" s="395" t="s">
        <v>138</v>
      </c>
      <c r="R1" s="396" t="s">
        <v>503</v>
      </c>
    </row>
    <row r="2" spans="1:18" ht="12.75" customHeight="1">
      <c r="A2" s="398"/>
      <c r="B2" s="398"/>
      <c r="C2" s="398"/>
      <c r="D2" s="542" t="s">
        <v>136</v>
      </c>
      <c r="E2" s="542"/>
      <c r="F2" s="542"/>
      <c r="G2" s="542"/>
      <c r="H2" s="542"/>
      <c r="I2" s="542"/>
      <c r="J2" s="391"/>
      <c r="K2" s="392"/>
      <c r="L2" s="549">
        <f>IF('Page 2'!J47=0,"",IF(OR(L3&lt;&gt;"",L5&lt;&gt;"",L7&lt;&gt;"",L8&lt;&gt;"",L9&lt;&gt;"",L11&lt;&gt;"",L13&lt;&gt;"",L14&lt;&gt;"",L15&lt;&gt;"",L17&lt;&gt;""),"ALERT: The following items need to be addressed before the AFR is submitted",""))</f>
      </c>
      <c r="M2" s="549"/>
      <c r="N2" s="549"/>
      <c r="O2" s="549"/>
      <c r="P2" s="549"/>
      <c r="Q2" s="549"/>
      <c r="R2" s="549"/>
    </row>
    <row r="3" spans="1:18" ht="12.75" customHeight="1">
      <c r="A3" s="398"/>
      <c r="B3" s="398"/>
      <c r="C3" s="398"/>
      <c r="D3" s="536"/>
      <c r="E3" s="536"/>
      <c r="F3" s="536"/>
      <c r="G3" s="536"/>
      <c r="H3" s="536"/>
      <c r="I3" s="536"/>
      <c r="J3" s="391"/>
      <c r="K3" s="392"/>
      <c r="L3" s="560">
        <f>IF(R1&lt;&gt;"",IF((VALUE(MID(R1,7,1)))&lt;7,IF('Page 2'!J47=0,"",IF(OR('Page 4'!F35&lt;=0,'Page 4'!G35&lt;=0,'Page 4'!H35&lt;=0),"See Pages 3 and 4. Classroom Site Project information is not complete. Ensure that all revenues and expenses  have been included.","")),""),"")</f>
      </c>
      <c r="M3" s="560"/>
      <c r="N3" s="560"/>
      <c r="O3" s="560"/>
      <c r="P3" s="560"/>
      <c r="Q3" s="560"/>
      <c r="R3" s="560"/>
    </row>
    <row r="4" spans="1:18" ht="12.75" customHeight="1">
      <c r="A4" s="398"/>
      <c r="B4" s="398"/>
      <c r="C4" s="398"/>
      <c r="D4" s="542" t="s">
        <v>137</v>
      </c>
      <c r="E4" s="542"/>
      <c r="F4" s="542"/>
      <c r="G4" s="542"/>
      <c r="H4" s="542"/>
      <c r="I4" s="542"/>
      <c r="J4" s="391"/>
      <c r="K4" s="392"/>
      <c r="L4" s="560"/>
      <c r="M4" s="560"/>
      <c r="N4" s="560"/>
      <c r="O4" s="560"/>
      <c r="P4" s="560"/>
      <c r="Q4" s="560"/>
      <c r="R4" s="560"/>
    </row>
    <row r="5" spans="1:18" ht="12.75" customHeight="1">
      <c r="A5" s="398"/>
      <c r="B5" s="398"/>
      <c r="C5" s="398"/>
      <c r="D5" s="391"/>
      <c r="E5" s="391"/>
      <c r="F5" s="391"/>
      <c r="G5" s="391"/>
      <c r="H5" s="391"/>
      <c r="I5" s="391"/>
      <c r="J5" s="391"/>
      <c r="K5" s="392"/>
      <c r="L5" s="560">
        <f>IF(R1&lt;&gt;"",IF((VALUE(MID(R1,7,1)))&lt;7,IF('Page 2'!J47=0,"",IF('Page 5'!F16&lt;=0,"Page 5, Instructional Improvement Project information is not complete. Ensure that all revenues and expenses have been included.","")),""),"")</f>
      </c>
      <c r="M5" s="560"/>
      <c r="N5" s="560"/>
      <c r="O5" s="560"/>
      <c r="P5" s="560"/>
      <c r="Q5" s="560"/>
      <c r="R5" s="560"/>
    </row>
    <row r="6" spans="1:18" ht="18" customHeight="1">
      <c r="A6" s="399"/>
      <c r="B6" s="547" t="s">
        <v>450</v>
      </c>
      <c r="C6" s="547"/>
      <c r="D6" s="547"/>
      <c r="E6" s="547"/>
      <c r="F6" s="547"/>
      <c r="G6" s="547"/>
      <c r="H6" s="547"/>
      <c r="I6" s="547"/>
      <c r="J6" s="400"/>
      <c r="L6" s="560"/>
      <c r="M6" s="560"/>
      <c r="N6" s="560"/>
      <c r="O6" s="560"/>
      <c r="P6" s="560"/>
      <c r="Q6" s="560"/>
      <c r="R6" s="560"/>
    </row>
    <row r="7" spans="1:18" ht="18" customHeight="1">
      <c r="A7" s="399"/>
      <c r="B7" s="399"/>
      <c r="C7" s="399"/>
      <c r="D7" s="399"/>
      <c r="E7" s="399"/>
      <c r="F7" s="399"/>
      <c r="G7" s="399"/>
      <c r="H7" s="391"/>
      <c r="I7" s="391"/>
      <c r="J7" s="401"/>
      <c r="L7" s="561">
        <f>IF('Page 2'!J47=0,"",IF(OR('Page 7'!G30&lt;=0,'Page 7'!G31&lt;=0,'Page 7'!G32&lt;=0,'Page 7'!G33&lt;=0,'Page 7'!G34&lt;=0),"Page 7, Section E, Current Expenses table is not complete.",""))</f>
      </c>
      <c r="M7" s="561"/>
      <c r="N7" s="561"/>
      <c r="O7" s="561"/>
      <c r="P7" s="561"/>
      <c r="Q7" s="561"/>
      <c r="R7" s="561"/>
    </row>
    <row r="8" spans="1:18" ht="18" customHeight="1">
      <c r="A8" s="402"/>
      <c r="B8" s="544" t="s">
        <v>118</v>
      </c>
      <c r="C8" s="544"/>
      <c r="D8" s="544"/>
      <c r="E8" s="544"/>
      <c r="F8" s="544"/>
      <c r="G8" s="544"/>
      <c r="H8" s="544"/>
      <c r="I8" s="544"/>
      <c r="J8" s="400"/>
      <c r="K8" s="392"/>
      <c r="L8" s="562">
        <f>IF('Page 2'!J47=0,"",IF(SUM('Page 7'!M19:T23)&lt;=0,"Page 7, Section G, Teachers Salaries table is not complete.",""))</f>
      </c>
      <c r="M8" s="562"/>
      <c r="N8" s="562"/>
      <c r="O8" s="562"/>
      <c r="P8" s="562"/>
      <c r="Q8" s="562"/>
      <c r="R8" s="562"/>
    </row>
    <row r="9" spans="1:18" ht="12.75" customHeight="1">
      <c r="A9" s="402"/>
      <c r="B9" s="402"/>
      <c r="C9" s="402"/>
      <c r="D9" s="402"/>
      <c r="E9" s="402"/>
      <c r="F9" s="402"/>
      <c r="G9" s="402"/>
      <c r="H9" s="391"/>
      <c r="I9" s="391"/>
      <c r="J9" s="401"/>
      <c r="K9" s="392"/>
      <c r="L9" s="560">
        <f>IF('Page 2'!J47=0,"",IF(AND('Page 2'!J36&gt;0,'Page 8'!T23&lt;&gt;'Page 2'!J36),"Page 8, Section C, Special Education Programs By Type table does not include all Program 200 SPED expenditures. This total should agree to Page 2, line 27.",""))</f>
      </c>
      <c r="M9" s="560"/>
      <c r="N9" s="560"/>
      <c r="O9" s="560"/>
      <c r="P9" s="560"/>
      <c r="Q9" s="560"/>
      <c r="R9" s="560"/>
    </row>
    <row r="10" spans="1:18" ht="12.75" customHeight="1">
      <c r="A10" s="402"/>
      <c r="B10" s="545" t="s">
        <v>120</v>
      </c>
      <c r="C10" s="545"/>
      <c r="D10" s="545"/>
      <c r="E10" s="545"/>
      <c r="F10" s="545"/>
      <c r="G10" s="545"/>
      <c r="H10" s="545"/>
      <c r="I10" s="545"/>
      <c r="J10" s="400"/>
      <c r="L10" s="560"/>
      <c r="M10" s="560"/>
      <c r="N10" s="560"/>
      <c r="O10" s="560"/>
      <c r="P10" s="560"/>
      <c r="Q10" s="560"/>
      <c r="R10" s="560"/>
    </row>
    <row r="11" spans="1:18" ht="12.75" customHeight="1">
      <c r="A11" s="402"/>
      <c r="B11" s="402"/>
      <c r="C11" s="402"/>
      <c r="D11" s="402"/>
      <c r="E11" s="402"/>
      <c r="F11" s="402"/>
      <c r="G11" s="402"/>
      <c r="H11" s="391"/>
      <c r="I11" s="391"/>
      <c r="J11" s="401"/>
      <c r="K11" s="392"/>
      <c r="L11" s="559">
        <f>IF('Page 2'!J47=0,"",IF((SUM('Page 2'!J47))&gt;(SUM('Page 10'!D24:J24)+SUM('Page 10'!D31:D34)+'Page 10'!D45),"Page 10, NPEFS information is not accurate based on amounts reported throughout the AFR.",""))</f>
      </c>
      <c r="M11" s="559"/>
      <c r="N11" s="559"/>
      <c r="O11" s="559"/>
      <c r="P11" s="559"/>
      <c r="Q11" s="559"/>
      <c r="R11" s="559"/>
    </row>
    <row r="12" spans="1:18" ht="12.75" customHeight="1">
      <c r="A12" s="397"/>
      <c r="B12" s="397"/>
      <c r="C12" s="397"/>
      <c r="D12" s="397"/>
      <c r="E12" s="397"/>
      <c r="F12" s="397"/>
      <c r="G12" s="397"/>
      <c r="J12" s="403"/>
      <c r="K12" s="404"/>
      <c r="L12" s="559"/>
      <c r="M12" s="559"/>
      <c r="N12" s="559"/>
      <c r="O12" s="559"/>
      <c r="P12" s="559"/>
      <c r="Q12" s="559"/>
      <c r="R12" s="559"/>
    </row>
    <row r="13" spans="1:18" ht="25.5" customHeight="1">
      <c r="A13" s="391"/>
      <c r="B13" s="391"/>
      <c r="C13" s="391"/>
      <c r="D13" s="391"/>
      <c r="E13" s="391"/>
      <c r="F13" s="391"/>
      <c r="G13" s="391"/>
      <c r="H13" s="392"/>
      <c r="I13" s="392"/>
      <c r="J13" s="403"/>
      <c r="K13" s="392"/>
      <c r="L13" s="559">
        <f>IF('Page 2'!J47=0,"",IF('Page 1'!H33&lt;('Page 9'!F23+'[3]Food Service AFR'!E10+'[3]Food Service AFR'!E11),"Federal Revenues on Page 1 should be greater than or equal to Federal Revenues for projects 1100-1399 on Page 9 and the Federal Revenues reported on the Food Service AFR, lines 4 &amp; 5.",""))</f>
      </c>
      <c r="M13" s="559"/>
      <c r="N13" s="559"/>
      <c r="O13" s="559"/>
      <c r="P13" s="559"/>
      <c r="Q13" s="559"/>
      <c r="R13" s="559"/>
    </row>
    <row r="14" spans="1:18" ht="26.25" customHeight="1">
      <c r="A14" s="391"/>
      <c r="B14" s="546" t="s">
        <v>451</v>
      </c>
      <c r="C14" s="546"/>
      <c r="D14" s="546"/>
      <c r="E14" s="546"/>
      <c r="F14" s="546"/>
      <c r="G14" s="546"/>
      <c r="H14" s="546"/>
      <c r="I14" s="546"/>
      <c r="J14" s="403"/>
      <c r="K14" s="392"/>
      <c r="L14" s="550">
        <f>IF('Page 2'!J47=0,"",IF(OR('Page 7'!G14="",'Page 7'!G15="",'Page 7'!G16="",'Page 7'!G17="",'Page 7'!G18=""),"Page 7, Section C is not complete.  If no capital acquisitions were made, please enter a 0 value for each line.",""))</f>
      </c>
      <c r="M14" s="550"/>
      <c r="N14" s="550"/>
      <c r="O14" s="550"/>
      <c r="P14" s="550"/>
      <c r="Q14" s="550"/>
      <c r="R14" s="550"/>
    </row>
    <row r="15" spans="10:18" ht="12.75" customHeight="1">
      <c r="J15" s="406"/>
      <c r="K15" s="392"/>
      <c r="L15" s="559">
        <f>IF('Page 2'!J47=0,"",IF(OR('Page 10'!D38="",'Page 10'!D39="",'Page 10'!D40="",'Page 10'!D41=""),"Page 10, Property Disbursements by Type Table is not complete. If no disbursements made, please enter a 0 value as this information is needed for NPEFS reporting.",""))</f>
      </c>
      <c r="M15" s="559"/>
      <c r="N15" s="559"/>
      <c r="O15" s="559"/>
      <c r="P15" s="559"/>
      <c r="Q15" s="559"/>
      <c r="R15" s="559"/>
    </row>
    <row r="16" spans="1:20" ht="12.75" customHeight="1">
      <c r="A16" s="391"/>
      <c r="B16" s="391"/>
      <c r="C16" s="391"/>
      <c r="D16" s="391"/>
      <c r="E16" s="391"/>
      <c r="F16" s="391"/>
      <c r="G16" s="391"/>
      <c r="H16" s="392"/>
      <c r="I16" s="392"/>
      <c r="J16" s="403"/>
      <c r="K16" s="392"/>
      <c r="L16" s="559"/>
      <c r="M16" s="559"/>
      <c r="N16" s="559"/>
      <c r="O16" s="559"/>
      <c r="P16" s="559"/>
      <c r="Q16" s="559"/>
      <c r="R16" s="559"/>
      <c r="S16" s="391"/>
      <c r="T16" s="391"/>
    </row>
    <row r="17" spans="1:20" ht="12.75" customHeight="1">
      <c r="A17" s="391"/>
      <c r="B17" s="392"/>
      <c r="C17" s="392"/>
      <c r="D17" s="392"/>
      <c r="E17" s="392"/>
      <c r="F17" s="392"/>
      <c r="G17" s="392"/>
      <c r="H17" s="392"/>
      <c r="I17" s="392"/>
      <c r="J17" s="403"/>
      <c r="K17" s="392"/>
      <c r="L17" s="559">
        <f>IF('Page 2'!J47=0,"",IF(SUM('Page 4'!F33:H33)+SUM('Page 5'!F16)+SUM('Page 6'!G8)+SUM('Page 6'!G30)&gt;'Page 1'!H22,"Page 1, line 16. 3200-Restricted revenues should be greater than or equal to total revenue amounts on Pages 4-6 for CSP, IIP, SEIP and CIP.",""))</f>
      </c>
      <c r="M17" s="559"/>
      <c r="N17" s="559"/>
      <c r="O17" s="559"/>
      <c r="P17" s="559"/>
      <c r="Q17" s="559"/>
      <c r="R17" s="559"/>
      <c r="S17" s="405"/>
      <c r="T17" s="405"/>
    </row>
    <row r="18" spans="1:20" ht="12.75" customHeight="1">
      <c r="A18" s="541"/>
      <c r="B18" s="541"/>
      <c r="C18" s="541"/>
      <c r="D18" s="541"/>
      <c r="E18" s="541"/>
      <c r="F18" s="407"/>
      <c r="G18" s="536" t="s">
        <v>508</v>
      </c>
      <c r="H18" s="536"/>
      <c r="I18" s="536"/>
      <c r="J18" s="403"/>
      <c r="L18" s="559"/>
      <c r="M18" s="559"/>
      <c r="N18" s="559"/>
      <c r="O18" s="559"/>
      <c r="P18" s="559"/>
      <c r="Q18" s="559"/>
      <c r="R18" s="559"/>
      <c r="S18" s="407"/>
      <c r="T18" s="407"/>
    </row>
    <row r="19" spans="1:20" ht="12.75" customHeight="1">
      <c r="A19" s="391"/>
      <c r="B19" s="391"/>
      <c r="C19" s="391"/>
      <c r="D19" s="391"/>
      <c r="E19" s="391"/>
      <c r="F19" s="391"/>
      <c r="G19" s="391"/>
      <c r="H19" s="402"/>
      <c r="I19" s="402"/>
      <c r="J19" s="400"/>
      <c r="L19" s="553" t="s">
        <v>452</v>
      </c>
      <c r="M19" s="554"/>
      <c r="N19" s="554"/>
      <c r="O19" s="554"/>
      <c r="P19" s="554"/>
      <c r="Q19" s="554"/>
      <c r="R19" s="554"/>
      <c r="S19" s="407"/>
      <c r="T19" s="407"/>
    </row>
    <row r="20" spans="1:18" ht="12.75" customHeight="1">
      <c r="A20" s="541"/>
      <c r="B20" s="541"/>
      <c r="C20" s="541"/>
      <c r="D20" s="541"/>
      <c r="E20" s="541"/>
      <c r="F20" s="407"/>
      <c r="G20" s="536" t="s">
        <v>508</v>
      </c>
      <c r="H20" s="536"/>
      <c r="I20" s="536"/>
      <c r="J20" s="400"/>
      <c r="L20" s="408" t="s">
        <v>496</v>
      </c>
      <c r="N20" s="409">
        <v>43019</v>
      </c>
      <c r="O20" s="556" t="s">
        <v>121</v>
      </c>
      <c r="P20" s="556"/>
      <c r="Q20" s="556"/>
      <c r="R20" s="556"/>
    </row>
    <row r="21" spans="1:18" ht="12.75" customHeight="1">
      <c r="A21" s="411"/>
      <c r="B21" s="411"/>
      <c r="C21" s="411"/>
      <c r="D21" s="411"/>
      <c r="E21" s="411"/>
      <c r="F21" s="391"/>
      <c r="G21" s="411"/>
      <c r="H21" s="392"/>
      <c r="I21" s="392"/>
      <c r="J21" s="400"/>
      <c r="L21" s="555" t="s">
        <v>122</v>
      </c>
      <c r="M21" s="555"/>
      <c r="N21" s="555"/>
      <c r="O21" s="410"/>
      <c r="P21" s="410"/>
      <c r="Q21" s="410"/>
      <c r="R21" s="410"/>
    </row>
    <row r="22" spans="1:18" ht="12.75" customHeight="1">
      <c r="A22" s="541"/>
      <c r="B22" s="541"/>
      <c r="C22" s="541"/>
      <c r="D22" s="541"/>
      <c r="E22" s="541"/>
      <c r="F22" s="407"/>
      <c r="G22" s="536"/>
      <c r="H22" s="536"/>
      <c r="I22" s="536"/>
      <c r="J22" s="400"/>
      <c r="L22" s="405"/>
      <c r="M22" s="410"/>
      <c r="N22" s="410"/>
      <c r="O22" s="410"/>
      <c r="P22" s="410"/>
      <c r="Q22" s="410"/>
      <c r="R22" s="410"/>
    </row>
    <row r="23" spans="1:18" ht="12.75" customHeight="1">
      <c r="A23" s="411"/>
      <c r="B23" s="411"/>
      <c r="C23" s="411"/>
      <c r="D23" s="411"/>
      <c r="E23" s="411"/>
      <c r="F23" s="391"/>
      <c r="G23" s="411"/>
      <c r="H23" s="392"/>
      <c r="I23" s="392"/>
      <c r="J23" s="403"/>
      <c r="L23" s="541"/>
      <c r="M23" s="541"/>
      <c r="N23" s="541"/>
      <c r="O23" s="405"/>
      <c r="P23" s="536" t="s">
        <v>505</v>
      </c>
      <c r="Q23" s="536"/>
      <c r="R23" s="536"/>
    </row>
    <row r="24" spans="1:18" ht="12.75" customHeight="1">
      <c r="A24" s="541"/>
      <c r="B24" s="541"/>
      <c r="C24" s="541"/>
      <c r="D24" s="541"/>
      <c r="E24" s="541"/>
      <c r="F24" s="407"/>
      <c r="G24" s="536"/>
      <c r="H24" s="536"/>
      <c r="I24" s="536"/>
      <c r="J24" s="403"/>
      <c r="L24" s="540" t="s">
        <v>388</v>
      </c>
      <c r="M24" s="537"/>
      <c r="N24" s="537"/>
      <c r="O24" s="405"/>
      <c r="P24" s="537" t="s">
        <v>264</v>
      </c>
      <c r="Q24" s="537"/>
      <c r="R24" s="537"/>
    </row>
    <row r="25" spans="1:18" ht="12.75" customHeight="1">
      <c r="A25" s="391"/>
      <c r="B25" s="391"/>
      <c r="C25" s="391"/>
      <c r="D25" s="402"/>
      <c r="E25" s="402"/>
      <c r="F25" s="402"/>
      <c r="G25" s="402"/>
      <c r="H25" s="412"/>
      <c r="I25" s="412"/>
      <c r="J25" s="403"/>
      <c r="L25" s="539" t="s">
        <v>504</v>
      </c>
      <c r="M25" s="539"/>
      <c r="N25" s="539"/>
      <c r="O25" s="391"/>
      <c r="P25" s="391"/>
      <c r="Q25" s="391"/>
      <c r="R25" s="391"/>
    </row>
    <row r="26" spans="1:14" s="405" customFormat="1" ht="12.75" customHeight="1">
      <c r="A26" s="541"/>
      <c r="B26" s="541"/>
      <c r="C26" s="541"/>
      <c r="D26" s="541"/>
      <c r="E26" s="541"/>
      <c r="F26" s="407"/>
      <c r="G26" s="536"/>
      <c r="H26" s="536"/>
      <c r="I26" s="536"/>
      <c r="J26" s="403"/>
      <c r="L26" s="540" t="s">
        <v>409</v>
      </c>
      <c r="M26" s="537"/>
      <c r="N26" s="537"/>
    </row>
    <row r="27" spans="1:18" s="405" customFormat="1" ht="12.75" customHeight="1">
      <c r="A27" s="391"/>
      <c r="B27" s="391"/>
      <c r="C27" s="391"/>
      <c r="D27" s="402"/>
      <c r="E27" s="402"/>
      <c r="F27" s="402"/>
      <c r="G27" s="402"/>
      <c r="H27" s="412"/>
      <c r="I27" s="412"/>
      <c r="J27" s="413"/>
      <c r="L27" s="543"/>
      <c r="M27" s="543"/>
      <c r="N27" s="543"/>
      <c r="O27" s="414"/>
      <c r="P27" s="538"/>
      <c r="Q27" s="538"/>
      <c r="R27" s="538"/>
    </row>
    <row r="28" spans="1:18" s="405" customFormat="1" ht="12.75" customHeight="1">
      <c r="A28" s="541"/>
      <c r="B28" s="541"/>
      <c r="C28" s="541"/>
      <c r="D28" s="541"/>
      <c r="E28" s="541"/>
      <c r="F28" s="407"/>
      <c r="G28" s="536"/>
      <c r="H28" s="536"/>
      <c r="I28" s="536"/>
      <c r="J28" s="413"/>
      <c r="L28" s="541"/>
      <c r="M28" s="541"/>
      <c r="N28" s="541"/>
      <c r="P28" s="536" t="s">
        <v>506</v>
      </c>
      <c r="Q28" s="536"/>
      <c r="R28" s="536"/>
    </row>
    <row r="29" spans="4:18" s="391" customFormat="1" ht="12.75" customHeight="1">
      <c r="D29" s="402"/>
      <c r="E29" s="402"/>
      <c r="F29" s="402"/>
      <c r="G29" s="402"/>
      <c r="H29" s="412"/>
      <c r="I29" s="412"/>
      <c r="J29" s="413"/>
      <c r="K29" s="405"/>
      <c r="L29" s="540" t="s">
        <v>388</v>
      </c>
      <c r="M29" s="540"/>
      <c r="N29" s="540"/>
      <c r="O29" s="405"/>
      <c r="P29" s="537" t="s">
        <v>264</v>
      </c>
      <c r="Q29" s="537"/>
      <c r="R29" s="537"/>
    </row>
    <row r="30" spans="1:19" s="405" customFormat="1" ht="12.75" customHeight="1">
      <c r="A30" s="541"/>
      <c r="B30" s="541"/>
      <c r="C30" s="541"/>
      <c r="D30" s="541"/>
      <c r="E30" s="541"/>
      <c r="F30" s="407"/>
      <c r="G30" s="536"/>
      <c r="H30" s="536"/>
      <c r="I30" s="536"/>
      <c r="J30" s="412"/>
      <c r="K30" s="415"/>
      <c r="L30" s="539" t="s">
        <v>507</v>
      </c>
      <c r="M30" s="539"/>
      <c r="N30" s="539"/>
      <c r="O30" s="391"/>
      <c r="P30" s="391"/>
      <c r="Q30" s="391"/>
      <c r="R30" s="391"/>
      <c r="S30" s="416"/>
    </row>
    <row r="31" spans="1:19" s="391" customFormat="1" ht="26.25" customHeight="1">
      <c r="A31" s="542" t="s">
        <v>119</v>
      </c>
      <c r="B31" s="542"/>
      <c r="C31" s="542"/>
      <c r="D31" s="542"/>
      <c r="E31" s="542"/>
      <c r="F31" s="407"/>
      <c r="G31" s="542" t="s">
        <v>2</v>
      </c>
      <c r="H31" s="542"/>
      <c r="I31" s="542"/>
      <c r="J31" s="413"/>
      <c r="K31" s="415"/>
      <c r="L31" s="540" t="s">
        <v>409</v>
      </c>
      <c r="M31" s="540"/>
      <c r="N31" s="540"/>
      <c r="O31" s="405"/>
      <c r="P31" s="405"/>
      <c r="Q31" s="405"/>
      <c r="R31" s="405"/>
      <c r="S31" s="416"/>
    </row>
    <row r="32" spans="10:18" s="405" customFormat="1" ht="12.75" customHeight="1">
      <c r="J32" s="413"/>
      <c r="K32" s="417"/>
      <c r="L32" s="418" t="s">
        <v>178</v>
      </c>
      <c r="M32" s="418"/>
      <c r="N32" s="418"/>
      <c r="O32" s="418"/>
      <c r="P32" s="419"/>
      <c r="Q32" s="419"/>
      <c r="R32" s="419"/>
    </row>
    <row r="33" spans="10:18" s="391" customFormat="1" ht="12.75" customHeight="1">
      <c r="J33" s="413"/>
      <c r="L33" s="408" t="s">
        <v>453</v>
      </c>
      <c r="M33" s="408"/>
      <c r="N33" s="408"/>
      <c r="O33" s="408"/>
      <c r="P33" s="420" t="s">
        <v>52</v>
      </c>
      <c r="Q33" s="557">
        <f>TotExpSchoolwide</f>
        <v>1738953</v>
      </c>
      <c r="R33" s="558"/>
    </row>
    <row r="34" spans="10:18" s="405" customFormat="1" ht="12.75" customHeight="1">
      <c r="J34" s="403"/>
      <c r="L34" s="408" t="s">
        <v>454</v>
      </c>
      <c r="M34" s="408"/>
      <c r="N34" s="408"/>
      <c r="O34" s="408"/>
      <c r="P34" s="420" t="s">
        <v>52</v>
      </c>
      <c r="Q34" s="551">
        <f>SP1000ClassSiteProj</f>
        <v>84972</v>
      </c>
      <c r="R34" s="552"/>
    </row>
    <row r="35" spans="10:18" s="405" customFormat="1" ht="12.75" customHeight="1">
      <c r="J35" s="403"/>
      <c r="K35" s="391"/>
      <c r="L35" s="408"/>
      <c r="M35" s="408"/>
      <c r="N35" s="408"/>
      <c r="O35" s="408"/>
      <c r="P35" s="397"/>
      <c r="Q35" s="397"/>
      <c r="R35" s="397"/>
    </row>
    <row r="36" spans="10:18" s="405" customFormat="1" ht="12.75" customHeight="1">
      <c r="J36" s="392"/>
      <c r="L36" s="397"/>
      <c r="M36" s="397"/>
      <c r="N36" s="397"/>
      <c r="O36" s="397"/>
      <c r="P36" s="397"/>
      <c r="Q36" s="397"/>
      <c r="R36" s="397"/>
    </row>
    <row r="37" ht="12.75">
      <c r="K37" s="391"/>
    </row>
    <row r="38" ht="12.75">
      <c r="K38" s="391"/>
    </row>
  </sheetData>
  <sheetProtection sheet="1" formatCells="0" formatColumns="0" formatRows="0"/>
  <mergeCells count="56">
    <mergeCell ref="L15:R16"/>
    <mergeCell ref="L9:R10"/>
    <mergeCell ref="L17:R18"/>
    <mergeCell ref="L13:R13"/>
    <mergeCell ref="L3:R4"/>
    <mergeCell ref="L5:R6"/>
    <mergeCell ref="L7:R7"/>
    <mergeCell ref="L8:R8"/>
    <mergeCell ref="L11:R12"/>
    <mergeCell ref="Q34:R34"/>
    <mergeCell ref="L19:R19"/>
    <mergeCell ref="L21:N21"/>
    <mergeCell ref="O20:R20"/>
    <mergeCell ref="Q33:R33"/>
    <mergeCell ref="A22:E22"/>
    <mergeCell ref="G22:I22"/>
    <mergeCell ref="G26:I26"/>
    <mergeCell ref="A24:E24"/>
    <mergeCell ref="G24:I24"/>
    <mergeCell ref="G18:I18"/>
    <mergeCell ref="M1:N1"/>
    <mergeCell ref="B6:I6"/>
    <mergeCell ref="D2:I2"/>
    <mergeCell ref="D3:I3"/>
    <mergeCell ref="D4:I4"/>
    <mergeCell ref="A1:C1"/>
    <mergeCell ref="D1:I1"/>
    <mergeCell ref="L2:R2"/>
    <mergeCell ref="L14:R14"/>
    <mergeCell ref="L25:N25"/>
    <mergeCell ref="L26:N26"/>
    <mergeCell ref="L24:N24"/>
    <mergeCell ref="L27:N27"/>
    <mergeCell ref="B8:I8"/>
    <mergeCell ref="B10:I10"/>
    <mergeCell ref="B14:I14"/>
    <mergeCell ref="A20:E20"/>
    <mergeCell ref="G20:I20"/>
    <mergeCell ref="A18:E18"/>
    <mergeCell ref="A28:E28"/>
    <mergeCell ref="A26:E26"/>
    <mergeCell ref="G28:I28"/>
    <mergeCell ref="L28:N28"/>
    <mergeCell ref="L29:N29"/>
    <mergeCell ref="P29:R29"/>
    <mergeCell ref="P28:R28"/>
    <mergeCell ref="P23:R23"/>
    <mergeCell ref="P24:R24"/>
    <mergeCell ref="P27:R27"/>
    <mergeCell ref="L30:N30"/>
    <mergeCell ref="L31:N31"/>
    <mergeCell ref="A30:E30"/>
    <mergeCell ref="G30:I30"/>
    <mergeCell ref="L23:N23"/>
    <mergeCell ref="A31:E31"/>
    <mergeCell ref="G31:I31"/>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printOptions horizontalCentered="1"/>
  <pageMargins left="0.75" right="0.75" top="0.75" bottom="0.75" header="0.5" footer="0.5"/>
  <pageSetup fitToHeight="1" fitToWidth="1" horizontalDpi="600" verticalDpi="600" orientation="landscape" scale="76" r:id="rId2"/>
  <headerFooter alignWithMargins="0">
    <oddFooter>&amp;LRev. 8/17&amp;CFY 2017</oddFooter>
  </headerFooter>
  <ignoredErrors>
    <ignoredError sqref="L17" formulaRange="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J14" sqref="J14"/>
    </sheetView>
  </sheetViews>
  <sheetFormatPr defaultColWidth="9.33203125" defaultRowHeight="12.75"/>
  <cols>
    <col min="1" max="1" width="21.5" style="3" customWidth="1"/>
    <col min="2" max="2" width="19.33203125" style="3" customWidth="1"/>
    <col min="3" max="3" width="10.66015625" style="3" customWidth="1"/>
    <col min="4" max="4" width="3.83203125" style="9"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64" t="str">
        <f>'Cover Page'!D1</f>
        <v>NORTH STAR CHARTER SCHOOL, INC.</v>
      </c>
      <c r="C1" s="564"/>
      <c r="D1" s="564"/>
      <c r="E1" s="2"/>
      <c r="F1" s="4" t="s">
        <v>1</v>
      </c>
      <c r="G1" s="564" t="str">
        <f>'Cover Page'!M1</f>
        <v>MARICOPA</v>
      </c>
      <c r="H1" s="564"/>
      <c r="K1" s="4" t="s">
        <v>138</v>
      </c>
      <c r="L1" s="168" t="str">
        <f>'Cover Page'!R1</f>
        <v>078945000</v>
      </c>
    </row>
    <row r="3" spans="1:12" ht="12.75">
      <c r="A3" s="684" t="s">
        <v>126</v>
      </c>
      <c r="B3" s="684"/>
      <c r="C3" s="684"/>
      <c r="D3" s="685"/>
      <c r="E3" s="27" t="s">
        <v>91</v>
      </c>
      <c r="F3" s="27"/>
      <c r="G3" s="27" t="s">
        <v>96</v>
      </c>
      <c r="H3" s="27"/>
      <c r="I3" s="28"/>
      <c r="J3" s="29"/>
      <c r="K3" s="27" t="s">
        <v>93</v>
      </c>
      <c r="L3" s="27" t="s">
        <v>95</v>
      </c>
    </row>
    <row r="4" spans="5:12" ht="12.75">
      <c r="E4" s="159" t="s">
        <v>92</v>
      </c>
      <c r="F4" s="159" t="s">
        <v>68</v>
      </c>
      <c r="G4" s="159" t="s">
        <v>97</v>
      </c>
      <c r="H4" s="159" t="s">
        <v>98</v>
      </c>
      <c r="I4" s="686" t="s">
        <v>85</v>
      </c>
      <c r="J4" s="687"/>
      <c r="K4" s="159" t="s">
        <v>94</v>
      </c>
      <c r="L4" s="159" t="s">
        <v>92</v>
      </c>
    </row>
    <row r="5" spans="1:12" ht="12.75">
      <c r="A5" s="1" t="s">
        <v>69</v>
      </c>
      <c r="E5" s="30" t="s">
        <v>4</v>
      </c>
      <c r="F5" s="30" t="s">
        <v>4</v>
      </c>
      <c r="G5" s="30" t="s">
        <v>4</v>
      </c>
      <c r="H5" s="30" t="s">
        <v>4</v>
      </c>
      <c r="I5" s="19" t="s">
        <v>35</v>
      </c>
      <c r="J5" s="19" t="s">
        <v>4</v>
      </c>
      <c r="K5" s="30" t="s">
        <v>4</v>
      </c>
      <c r="L5" s="30" t="s">
        <v>4</v>
      </c>
    </row>
    <row r="6" spans="1:13" ht="12.75">
      <c r="A6" s="3" t="s">
        <v>308</v>
      </c>
      <c r="D6" s="9" t="s">
        <v>6</v>
      </c>
      <c r="E6" s="54">
        <f>[1]!FP11001130EndBal</f>
        <v>0</v>
      </c>
      <c r="F6" s="48">
        <v>27950</v>
      </c>
      <c r="G6" s="15"/>
      <c r="H6" s="15"/>
      <c r="I6" s="129">
        <v>24000</v>
      </c>
      <c r="J6" s="15">
        <v>27950</v>
      </c>
      <c r="K6" s="15"/>
      <c r="L6" s="21">
        <f>SUM(E6+F6-G6-H6-J6-K6)</f>
        <v>0</v>
      </c>
      <c r="M6" s="3" t="s">
        <v>6</v>
      </c>
    </row>
    <row r="7" spans="1:13" ht="12.75">
      <c r="A7" s="3" t="s">
        <v>309</v>
      </c>
      <c r="D7" s="9" t="s">
        <v>7</v>
      </c>
      <c r="E7" s="54">
        <f>[1]!FP11401150EndBal</f>
        <v>0</v>
      </c>
      <c r="F7" s="15">
        <v>4479</v>
      </c>
      <c r="G7" s="15"/>
      <c r="H7" s="15"/>
      <c r="I7" s="129">
        <v>2000</v>
      </c>
      <c r="J7" s="15">
        <v>4479</v>
      </c>
      <c r="K7" s="15"/>
      <c r="L7" s="21">
        <f aca="true" t="shared" si="0" ref="L7:L23">SUM(E7+F7-G7-H7-J7-K7)</f>
        <v>0</v>
      </c>
      <c r="M7" s="3" t="s">
        <v>7</v>
      </c>
    </row>
    <row r="8" spans="1:13" ht="12.75">
      <c r="A8" s="3" t="s">
        <v>166</v>
      </c>
      <c r="D8" s="9" t="s">
        <v>8</v>
      </c>
      <c r="E8" s="54">
        <f>[1]!FP1160EndBal</f>
        <v>0</v>
      </c>
      <c r="F8" s="15"/>
      <c r="G8" s="15"/>
      <c r="H8" s="15"/>
      <c r="I8" s="129">
        <f>[2]!FP1160TitleIV</f>
        <v>0</v>
      </c>
      <c r="J8" s="15"/>
      <c r="K8" s="15"/>
      <c r="L8" s="21">
        <f t="shared" si="0"/>
        <v>0</v>
      </c>
      <c r="M8" s="3" t="s">
        <v>8</v>
      </c>
    </row>
    <row r="9" spans="1:13" ht="12.75">
      <c r="A9" s="3" t="s">
        <v>167</v>
      </c>
      <c r="D9" s="9" t="s">
        <v>9</v>
      </c>
      <c r="E9" s="54">
        <f>[1]!FP11701180EndBal</f>
        <v>0</v>
      </c>
      <c r="F9" s="15"/>
      <c r="G9" s="15"/>
      <c r="H9" s="15"/>
      <c r="I9" s="129">
        <f>[2]!FP11701180TitleV</f>
        <v>0</v>
      </c>
      <c r="J9" s="15"/>
      <c r="K9" s="15"/>
      <c r="L9" s="21">
        <f t="shared" si="0"/>
        <v>0</v>
      </c>
      <c r="M9" s="3" t="s">
        <v>9</v>
      </c>
    </row>
    <row r="10" spans="1:13" ht="12.75">
      <c r="A10" s="3" t="s">
        <v>168</v>
      </c>
      <c r="D10" s="9" t="s">
        <v>10</v>
      </c>
      <c r="E10" s="54">
        <f>[1]!FP1190EndBal</f>
        <v>0</v>
      </c>
      <c r="F10" s="15"/>
      <c r="G10" s="15"/>
      <c r="H10" s="15"/>
      <c r="I10" s="129">
        <f>[2]!FP1190TitleIII</f>
        <v>0</v>
      </c>
      <c r="J10" s="15"/>
      <c r="K10" s="15"/>
      <c r="L10" s="21">
        <f t="shared" si="0"/>
        <v>0</v>
      </c>
      <c r="M10" s="3" t="s">
        <v>10</v>
      </c>
    </row>
    <row r="11" spans="1:13" ht="12.75">
      <c r="A11" s="3" t="s">
        <v>169</v>
      </c>
      <c r="D11" s="9" t="s">
        <v>11</v>
      </c>
      <c r="E11" s="54">
        <f>[1]!FP1200EndBal</f>
        <v>0</v>
      </c>
      <c r="F11" s="15"/>
      <c r="G11" s="15"/>
      <c r="H11" s="15"/>
      <c r="I11" s="129">
        <f>[2]!FP1200TitleVII</f>
        <v>0</v>
      </c>
      <c r="J11" s="15"/>
      <c r="K11" s="15"/>
      <c r="L11" s="21">
        <f t="shared" si="0"/>
        <v>0</v>
      </c>
      <c r="M11" s="3" t="s">
        <v>11</v>
      </c>
    </row>
    <row r="12" spans="1:13" ht="12.75">
      <c r="A12" s="3" t="s">
        <v>170</v>
      </c>
      <c r="D12" s="9" t="s">
        <v>12</v>
      </c>
      <c r="E12" s="54">
        <f>[1]!FP1210EndBal</f>
        <v>0</v>
      </c>
      <c r="F12" s="15"/>
      <c r="G12" s="15"/>
      <c r="H12" s="15"/>
      <c r="I12" s="129">
        <f>[2]!FP1210TitleVI</f>
        <v>0</v>
      </c>
      <c r="J12" s="15"/>
      <c r="K12" s="15"/>
      <c r="L12" s="21">
        <f t="shared" si="0"/>
        <v>0</v>
      </c>
      <c r="M12" s="3" t="s">
        <v>12</v>
      </c>
    </row>
    <row r="13" spans="1:13" ht="12.75">
      <c r="A13" s="3" t="s">
        <v>70</v>
      </c>
      <c r="D13" s="9" t="s">
        <v>14</v>
      </c>
      <c r="E13" s="54">
        <f>[1]!FP1220EndBal</f>
        <v>0</v>
      </c>
      <c r="F13" s="15">
        <v>29249</v>
      </c>
      <c r="G13" s="15"/>
      <c r="H13" s="15"/>
      <c r="I13" s="129">
        <v>15000</v>
      </c>
      <c r="J13" s="15">
        <v>29249</v>
      </c>
      <c r="K13" s="15"/>
      <c r="L13" s="21">
        <f t="shared" si="0"/>
        <v>0</v>
      </c>
      <c r="M13" s="3" t="s">
        <v>14</v>
      </c>
    </row>
    <row r="14" spans="1:13" ht="12.75">
      <c r="A14" s="3" t="s">
        <v>71</v>
      </c>
      <c r="D14" s="9" t="s">
        <v>15</v>
      </c>
      <c r="E14" s="54">
        <f>[1]!FP1230EndBal</f>
        <v>0</v>
      </c>
      <c r="F14" s="15"/>
      <c r="G14" s="15"/>
      <c r="H14" s="15"/>
      <c r="I14" s="129">
        <f>[2]!FP1230Johnson</f>
        <v>0</v>
      </c>
      <c r="J14" s="15"/>
      <c r="K14" s="15"/>
      <c r="L14" s="21">
        <f t="shared" si="0"/>
        <v>0</v>
      </c>
      <c r="M14" s="3" t="s">
        <v>15</v>
      </c>
    </row>
    <row r="15" spans="1:13" ht="12.75">
      <c r="A15" s="3" t="s">
        <v>181</v>
      </c>
      <c r="D15" s="9" t="s">
        <v>16</v>
      </c>
      <c r="E15" s="54">
        <f>[1]!FP1240EndBal</f>
        <v>0</v>
      </c>
      <c r="F15" s="15"/>
      <c r="G15" s="15"/>
      <c r="H15" s="15"/>
      <c r="I15" s="129">
        <f>[2]!FP1240WIA</f>
        <v>0</v>
      </c>
      <c r="J15" s="15"/>
      <c r="K15" s="15"/>
      <c r="L15" s="21">
        <f t="shared" si="0"/>
        <v>0</v>
      </c>
      <c r="M15" s="3" t="s">
        <v>16</v>
      </c>
    </row>
    <row r="16" spans="1:13" ht="12.75">
      <c r="A16" s="3" t="s">
        <v>72</v>
      </c>
      <c r="D16" s="9" t="s">
        <v>17</v>
      </c>
      <c r="E16" s="54">
        <f>[1]!FP1250EndBal</f>
        <v>0</v>
      </c>
      <c r="F16" s="15"/>
      <c r="G16" s="15"/>
      <c r="H16" s="15"/>
      <c r="I16" s="129">
        <f>[2]!FP1250AEA</f>
        <v>0</v>
      </c>
      <c r="J16" s="15"/>
      <c r="K16" s="15"/>
      <c r="L16" s="21">
        <f t="shared" si="0"/>
        <v>0</v>
      </c>
      <c r="M16" s="3" t="s">
        <v>17</v>
      </c>
    </row>
    <row r="17" spans="1:13" ht="12.75">
      <c r="A17" s="3" t="s">
        <v>171</v>
      </c>
      <c r="D17" s="9" t="s">
        <v>18</v>
      </c>
      <c r="E17" s="54">
        <f>[1]!FP1260EndBal</f>
        <v>0</v>
      </c>
      <c r="F17" s="15"/>
      <c r="G17" s="15"/>
      <c r="H17" s="15"/>
      <c r="I17" s="129">
        <f>[2]!FP12601270VocEd</f>
        <v>0</v>
      </c>
      <c r="J17" s="15"/>
      <c r="K17" s="15"/>
      <c r="L17" s="21">
        <f t="shared" si="0"/>
        <v>0</v>
      </c>
      <c r="M17" s="3" t="s">
        <v>18</v>
      </c>
    </row>
    <row r="18" spans="1:13" ht="12.75">
      <c r="A18" s="3" t="s">
        <v>197</v>
      </c>
      <c r="D18" s="9" t="s">
        <v>20</v>
      </c>
      <c r="E18" s="54">
        <f>[1]!FP1280EndBal</f>
        <v>0</v>
      </c>
      <c r="F18" s="15"/>
      <c r="G18" s="15"/>
      <c r="H18" s="15"/>
      <c r="I18" s="129">
        <f>[2]!FP1280TitleX</f>
        <v>0</v>
      </c>
      <c r="J18" s="15"/>
      <c r="K18" s="15"/>
      <c r="L18" s="21">
        <f t="shared" si="0"/>
        <v>0</v>
      </c>
      <c r="M18" s="3" t="s">
        <v>20</v>
      </c>
    </row>
    <row r="19" spans="1:13" ht="12.75">
      <c r="A19" s="3" t="s">
        <v>108</v>
      </c>
      <c r="D19" s="9" t="s">
        <v>21</v>
      </c>
      <c r="E19" s="54">
        <f>[1]!FP1290EndBal</f>
        <v>0</v>
      </c>
      <c r="F19" s="15"/>
      <c r="G19" s="15"/>
      <c r="H19" s="15"/>
      <c r="I19" s="129">
        <f>[2]!FP1290Medicaid</f>
        <v>0</v>
      </c>
      <c r="J19" s="15"/>
      <c r="K19" s="15"/>
      <c r="L19" s="21">
        <f t="shared" si="0"/>
        <v>0</v>
      </c>
      <c r="M19" s="3" t="s">
        <v>21</v>
      </c>
    </row>
    <row r="20" spans="1:13" ht="12.75">
      <c r="A20" s="3" t="s">
        <v>109</v>
      </c>
      <c r="D20" s="47" t="s">
        <v>22</v>
      </c>
      <c r="E20" s="54">
        <f>[1]!FP1300EndBal</f>
        <v>0</v>
      </c>
      <c r="F20" s="16"/>
      <c r="G20" s="16"/>
      <c r="H20" s="16"/>
      <c r="I20" s="129">
        <f>[2]!FP1300Charter</f>
        <v>0</v>
      </c>
      <c r="J20" s="16"/>
      <c r="K20" s="16"/>
      <c r="L20" s="21">
        <f t="shared" si="0"/>
        <v>0</v>
      </c>
      <c r="M20" s="22" t="s">
        <v>22</v>
      </c>
    </row>
    <row r="21" spans="1:13" ht="12.75">
      <c r="A21" s="276" t="s">
        <v>394</v>
      </c>
      <c r="B21" s="276"/>
      <c r="C21" s="276"/>
      <c r="D21" s="306" t="s">
        <v>23</v>
      </c>
      <c r="E21" s="280">
        <f>'[1]Page 9'!L21</f>
        <v>0</v>
      </c>
      <c r="F21" s="307"/>
      <c r="G21" s="307"/>
      <c r="H21" s="307"/>
      <c r="I21" s="129">
        <f>[2]!FP13__ImpactAid</f>
        <v>0</v>
      </c>
      <c r="J21" s="307"/>
      <c r="K21" s="307"/>
      <c r="L21" s="57">
        <f t="shared" si="0"/>
        <v>0</v>
      </c>
      <c r="M21" s="22" t="s">
        <v>23</v>
      </c>
    </row>
    <row r="22" spans="1:13" ht="13.5" thickBot="1">
      <c r="A22" s="276" t="s">
        <v>139</v>
      </c>
      <c r="B22" s="276"/>
      <c r="C22" s="276"/>
      <c r="D22" s="47" t="s">
        <v>24</v>
      </c>
      <c r="E22" s="172">
        <f>[1]!FP13101399EndBal</f>
        <v>0</v>
      </c>
      <c r="F22" s="49"/>
      <c r="G22" s="49"/>
      <c r="H22" s="49"/>
      <c r="I22" s="172">
        <f>[2]!FP13101399Other</f>
        <v>0</v>
      </c>
      <c r="J22" s="49"/>
      <c r="K22" s="49"/>
      <c r="L22" s="188">
        <f t="shared" si="0"/>
        <v>0</v>
      </c>
      <c r="M22" s="22" t="s">
        <v>24</v>
      </c>
    </row>
    <row r="23" spans="1:13" ht="13.5" thickBot="1">
      <c r="A23" s="3" t="s">
        <v>395</v>
      </c>
      <c r="D23" s="47" t="s">
        <v>26</v>
      </c>
      <c r="E23" s="275">
        <f>SUM(E6:E22)</f>
        <v>0</v>
      </c>
      <c r="F23" s="26">
        <f aca="true" t="shared" si="1" ref="F23:K23">SUM(F6:F22)</f>
        <v>61678</v>
      </c>
      <c r="G23" s="26">
        <f t="shared" si="1"/>
        <v>0</v>
      </c>
      <c r="H23" s="26">
        <f t="shared" si="1"/>
        <v>0</v>
      </c>
      <c r="I23" s="173">
        <f t="shared" si="1"/>
        <v>41000</v>
      </c>
      <c r="J23" s="26">
        <f t="shared" si="1"/>
        <v>61678</v>
      </c>
      <c r="K23" s="26">
        <f t="shared" si="1"/>
        <v>0</v>
      </c>
      <c r="L23" s="26">
        <f t="shared" si="0"/>
        <v>0</v>
      </c>
      <c r="M23" s="22" t="s">
        <v>26</v>
      </c>
    </row>
    <row r="24" spans="1:12" ht="13.5" thickTop="1">
      <c r="A24" s="1" t="s">
        <v>73</v>
      </c>
      <c r="E24" s="7"/>
      <c r="F24" s="7"/>
      <c r="G24" s="7"/>
      <c r="H24" s="7"/>
      <c r="I24" s="167"/>
      <c r="J24" s="7"/>
      <c r="K24" s="7"/>
      <c r="L24" s="7"/>
    </row>
    <row r="25" spans="1:13" ht="12.75">
      <c r="A25" s="3" t="s">
        <v>74</v>
      </c>
      <c r="D25" s="47" t="s">
        <v>27</v>
      </c>
      <c r="E25" s="41">
        <f>[1]!StP1400EndBal</f>
        <v>0</v>
      </c>
      <c r="F25" s="48"/>
      <c r="G25" s="31"/>
      <c r="H25" s="15"/>
      <c r="I25" s="129">
        <f>[2]!SP1400VocEd</f>
        <v>0</v>
      </c>
      <c r="J25" s="15"/>
      <c r="K25" s="15"/>
      <c r="L25" s="21">
        <f aca="true" t="shared" si="2" ref="L25:L35">SUM(E25+F25-G25-H25-J25-K25)</f>
        <v>0</v>
      </c>
      <c r="M25" s="22" t="s">
        <v>27</v>
      </c>
    </row>
    <row r="26" spans="1:13" ht="12.75">
      <c r="A26" s="3" t="s">
        <v>110</v>
      </c>
      <c r="D26" s="47" t="s">
        <v>28</v>
      </c>
      <c r="E26" s="41">
        <f>[1]!StP1410EndBal</f>
        <v>0</v>
      </c>
      <c r="F26" s="48"/>
      <c r="G26" s="31"/>
      <c r="H26" s="15"/>
      <c r="I26" s="129">
        <f>[2]!SP1410EarlyChildhoodBlockGrant</f>
        <v>0</v>
      </c>
      <c r="J26" s="15"/>
      <c r="K26" s="15"/>
      <c r="L26" s="21">
        <f t="shared" si="2"/>
        <v>0</v>
      </c>
      <c r="M26" s="22" t="s">
        <v>28</v>
      </c>
    </row>
    <row r="27" spans="1:13" ht="12.75">
      <c r="A27" s="3" t="s">
        <v>172</v>
      </c>
      <c r="D27" s="47" t="s">
        <v>29</v>
      </c>
      <c r="E27" s="41">
        <f>[1]!StP1420EndBal</f>
        <v>0</v>
      </c>
      <c r="F27" s="15"/>
      <c r="G27" s="31"/>
      <c r="H27" s="15"/>
      <c r="I27" s="129">
        <f>[2]!FP1420ExtendedSchool</f>
        <v>0</v>
      </c>
      <c r="J27" s="15"/>
      <c r="K27" s="15"/>
      <c r="L27" s="21">
        <f t="shared" si="2"/>
        <v>0</v>
      </c>
      <c r="M27" s="22" t="s">
        <v>29</v>
      </c>
    </row>
    <row r="28" spans="1:13" ht="12.75">
      <c r="A28" s="3" t="s">
        <v>235</v>
      </c>
      <c r="D28" s="47" t="s">
        <v>30</v>
      </c>
      <c r="E28" s="41">
        <f>[1]!StP1425EndBal</f>
        <v>0</v>
      </c>
      <c r="F28" s="15"/>
      <c r="G28" s="31"/>
      <c r="H28" s="15"/>
      <c r="I28" s="129">
        <f>[2]!SP1425AdultBasicEd</f>
        <v>0</v>
      </c>
      <c r="J28" s="15"/>
      <c r="K28" s="15"/>
      <c r="L28" s="21">
        <f t="shared" si="2"/>
        <v>0</v>
      </c>
      <c r="M28" s="22" t="s">
        <v>30</v>
      </c>
    </row>
    <row r="29" spans="1:13" ht="12.75">
      <c r="A29" s="3" t="s">
        <v>75</v>
      </c>
      <c r="D29" s="47" t="s">
        <v>31</v>
      </c>
      <c r="E29" s="41">
        <f>[1]!StP1430EndBal</f>
        <v>0</v>
      </c>
      <c r="F29" s="15"/>
      <c r="G29" s="31"/>
      <c r="H29" s="15"/>
      <c r="I29" s="129">
        <f>[2]!SP1430ChemicalAbuse</f>
        <v>0</v>
      </c>
      <c r="J29" s="15"/>
      <c r="K29" s="15"/>
      <c r="L29" s="21">
        <f t="shared" si="2"/>
        <v>0</v>
      </c>
      <c r="M29" s="22" t="s">
        <v>31</v>
      </c>
    </row>
    <row r="30" spans="1:13" ht="12.75" customHeight="1">
      <c r="A30" s="3" t="s">
        <v>76</v>
      </c>
      <c r="D30" s="47" t="s">
        <v>32</v>
      </c>
      <c r="E30" s="41">
        <f>[1]!StP1435EndBal</f>
        <v>0</v>
      </c>
      <c r="F30" s="15"/>
      <c r="G30" s="31"/>
      <c r="H30" s="15"/>
      <c r="I30" s="129">
        <f>[2]!SP1435AcademicContests</f>
        <v>0</v>
      </c>
      <c r="J30" s="15"/>
      <c r="K30" s="15"/>
      <c r="L30" s="21">
        <f t="shared" si="2"/>
        <v>0</v>
      </c>
      <c r="M30" s="22" t="s">
        <v>32</v>
      </c>
    </row>
    <row r="31" spans="1:13" ht="12.75" customHeight="1">
      <c r="A31" s="3" t="s">
        <v>252</v>
      </c>
      <c r="D31" s="47" t="s">
        <v>77</v>
      </c>
      <c r="E31" s="129">
        <f>[1]!StP1450EndBal</f>
        <v>0</v>
      </c>
      <c r="F31" s="15"/>
      <c r="G31" s="31"/>
      <c r="H31" s="15"/>
      <c r="I31" s="129">
        <f>[2]!SP1450GiftedEd</f>
        <v>0</v>
      </c>
      <c r="J31" s="15"/>
      <c r="K31" s="15"/>
      <c r="L31" s="21">
        <f t="shared" si="2"/>
        <v>0</v>
      </c>
      <c r="M31" s="22" t="s">
        <v>77</v>
      </c>
    </row>
    <row r="32" spans="1:13" ht="12.75">
      <c r="A32" s="3" t="s">
        <v>80</v>
      </c>
      <c r="D32" s="47" t="s">
        <v>78</v>
      </c>
      <c r="E32" s="129">
        <f>[1]!StP1460EndBal</f>
        <v>0</v>
      </c>
      <c r="F32" s="15"/>
      <c r="G32" s="272"/>
      <c r="H32" s="15"/>
      <c r="I32" s="129">
        <f>[2]!SP1460EnvironmentalSpecialPlate</f>
        <v>0</v>
      </c>
      <c r="J32" s="15"/>
      <c r="K32" s="15"/>
      <c r="L32" s="21">
        <f t="shared" si="2"/>
        <v>0</v>
      </c>
      <c r="M32" s="22" t="s">
        <v>78</v>
      </c>
    </row>
    <row r="33" spans="1:13" ht="12.75" customHeight="1">
      <c r="A33" s="3" t="s">
        <v>112</v>
      </c>
      <c r="D33" s="47" t="s">
        <v>79</v>
      </c>
      <c r="E33" s="129">
        <f>[1]!StP1465EndBal</f>
        <v>0</v>
      </c>
      <c r="F33" s="16"/>
      <c r="G33" s="32"/>
      <c r="H33" s="16"/>
      <c r="I33" s="129">
        <f>[2]!SP1465CharterSchool</f>
        <v>0</v>
      </c>
      <c r="J33" s="16"/>
      <c r="K33" s="16"/>
      <c r="L33" s="21">
        <f t="shared" si="2"/>
        <v>0</v>
      </c>
      <c r="M33" s="22" t="s">
        <v>79</v>
      </c>
    </row>
    <row r="34" spans="1:14" ht="12.75" customHeight="1" thickBot="1">
      <c r="A34" s="45" t="s">
        <v>111</v>
      </c>
      <c r="B34" s="45"/>
      <c r="C34" s="45"/>
      <c r="D34" s="174" t="s">
        <v>81</v>
      </c>
      <c r="E34" s="172">
        <f>[1]!StP14701499EndBal</f>
        <v>0</v>
      </c>
      <c r="F34" s="49"/>
      <c r="G34" s="191"/>
      <c r="H34" s="49"/>
      <c r="I34" s="172">
        <f>'[2]Page 2'!$E$33</f>
        <v>0</v>
      </c>
      <c r="J34" s="49"/>
      <c r="K34" s="49"/>
      <c r="L34" s="188">
        <f t="shared" si="2"/>
        <v>0</v>
      </c>
      <c r="M34" s="171" t="s">
        <v>81</v>
      </c>
      <c r="N34" s="45"/>
    </row>
    <row r="35" spans="1:14" ht="13.5" thickBot="1">
      <c r="A35" s="45" t="s">
        <v>463</v>
      </c>
      <c r="B35" s="45"/>
      <c r="C35" s="45"/>
      <c r="D35" s="174" t="s">
        <v>82</v>
      </c>
      <c r="E35" s="126">
        <f>SUM(E25:E34)</f>
        <v>0</v>
      </c>
      <c r="F35" s="126">
        <f>SUM(F25:F34)</f>
        <v>0</v>
      </c>
      <c r="G35" s="190"/>
      <c r="H35" s="126">
        <f>SUM(H25:H34)</f>
        <v>0</v>
      </c>
      <c r="I35" s="173">
        <f>SUM(I25:I34)</f>
        <v>0</v>
      </c>
      <c r="J35" s="126">
        <f>SUM(J25:J34)</f>
        <v>0</v>
      </c>
      <c r="K35" s="126">
        <f>SUM(K25:K34)</f>
        <v>0</v>
      </c>
      <c r="L35" s="126">
        <f t="shared" si="2"/>
        <v>0</v>
      </c>
      <c r="M35" s="171" t="s">
        <v>82</v>
      </c>
      <c r="N35" s="45"/>
    </row>
    <row r="36" spans="1:14" ht="13.5" thickTop="1">
      <c r="A36" s="45"/>
      <c r="B36" s="45"/>
      <c r="C36" s="45"/>
      <c r="D36" s="174"/>
      <c r="E36" s="127"/>
      <c r="F36" s="127"/>
      <c r="G36" s="127"/>
      <c r="H36" s="127"/>
      <c r="I36" s="167"/>
      <c r="J36" s="127"/>
      <c r="K36" s="127"/>
      <c r="L36" s="127"/>
      <c r="M36" s="171"/>
      <c r="N36" s="45"/>
    </row>
    <row r="37" spans="1:14" ht="13.5" thickBot="1">
      <c r="A37" s="276" t="s">
        <v>464</v>
      </c>
      <c r="B37" s="276"/>
      <c r="C37" s="276"/>
      <c r="D37" s="174" t="s">
        <v>83</v>
      </c>
      <c r="E37" s="128">
        <f>SUM(E23+E35)</f>
        <v>0</v>
      </c>
      <c r="F37" s="128">
        <f>SUM(F23+F35)</f>
        <v>61678</v>
      </c>
      <c r="G37" s="128">
        <f>G23</f>
        <v>0</v>
      </c>
      <c r="H37" s="128">
        <f>SUM(H23+H35)</f>
        <v>0</v>
      </c>
      <c r="I37" s="189">
        <f>SUM(I23+I35)</f>
        <v>41000</v>
      </c>
      <c r="J37" s="128">
        <f>SUM(J23+J35)</f>
        <v>61678</v>
      </c>
      <c r="K37" s="128">
        <f>SUM(K23+K35)</f>
        <v>0</v>
      </c>
      <c r="L37" s="128">
        <f>SUM(E37+F37-G37-H37-J37-K37)</f>
        <v>0</v>
      </c>
      <c r="M37" s="171" t="s">
        <v>83</v>
      </c>
      <c r="N37" s="45"/>
    </row>
    <row r="38" spans="1:14" ht="13.5" thickTop="1">
      <c r="A38" s="45"/>
      <c r="B38" s="45"/>
      <c r="C38" s="45"/>
      <c r="D38" s="46"/>
      <c r="E38" s="45"/>
      <c r="F38" s="45"/>
      <c r="G38" s="45"/>
      <c r="H38" s="45"/>
      <c r="I38" s="45"/>
      <c r="J38" s="45"/>
      <c r="K38" s="45"/>
      <c r="L38" s="45"/>
      <c r="M38" s="45"/>
      <c r="N38" s="45"/>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7:C37"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fitToHeight="1" fitToWidth="1" horizontalDpi="600" verticalDpi="600" orientation="landscape" scale="81" r:id="rId2"/>
  <headerFooter>
    <oddFooter>&amp;LRev. 8/17&amp;CFY 2017&amp;RPage 9 of 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1"/>
  <sheetViews>
    <sheetView showGridLines="0" tabSelected="1" workbookViewId="0" topLeftCell="A8">
      <selection activeCell="I19" sqref="I19"/>
    </sheetView>
  </sheetViews>
  <sheetFormatPr defaultColWidth="9.33203125" defaultRowHeight="12.75" customHeight="1"/>
  <cols>
    <col min="1" max="1" width="19.83203125" style="707" customWidth="1"/>
    <col min="2" max="2" width="36.83203125" style="707" customWidth="1"/>
    <col min="3" max="3" width="3.16015625" style="707" customWidth="1"/>
    <col min="4" max="7" width="16.83203125" style="707" customWidth="1"/>
    <col min="8" max="10" width="17.83203125" style="713" customWidth="1"/>
    <col min="11" max="11" width="16.83203125" style="713" customWidth="1"/>
    <col min="12" max="12" width="3.16015625" style="707" customWidth="1"/>
    <col min="13" max="13" width="14.83203125" style="707" customWidth="1"/>
    <col min="14" max="14" width="21.33203125" style="707" customWidth="1"/>
    <col min="15" max="15" width="13.83203125" style="707" customWidth="1"/>
    <col min="16" max="18" width="10.83203125" style="707" customWidth="1"/>
    <col min="19" max="19" width="9.33203125" style="707" customWidth="1"/>
    <col min="20" max="20" width="2.66015625" style="707" customWidth="1"/>
    <col min="21" max="16384" width="9.33203125" style="707" customWidth="1"/>
  </cols>
  <sheetData>
    <row r="1" spans="1:20" ht="12" customHeight="1">
      <c r="A1" s="694" t="s">
        <v>0</v>
      </c>
      <c r="B1" s="695" t="str">
        <f>'Cover Page'!D1</f>
        <v>NORTH STAR CHARTER SCHOOL, INC.</v>
      </c>
      <c r="C1" s="696"/>
      <c r="D1" s="697"/>
      <c r="E1" s="698" t="s">
        <v>1</v>
      </c>
      <c r="F1" s="699" t="str">
        <f>'Cover Page'!M1</f>
        <v>MARICOPA</v>
      </c>
      <c r="G1" s="699"/>
      <c r="H1" s="700"/>
      <c r="I1" s="698"/>
      <c r="J1" s="698" t="s">
        <v>138</v>
      </c>
      <c r="K1" s="701" t="str">
        <f>'Cover Page'!R1</f>
        <v>078945000</v>
      </c>
      <c r="L1" s="702"/>
      <c r="M1" s="703"/>
      <c r="N1" s="704"/>
      <c r="O1" s="704"/>
      <c r="P1" s="698"/>
      <c r="Q1" s="704"/>
      <c r="R1" s="705"/>
      <c r="S1" s="706"/>
      <c r="T1" s="706"/>
    </row>
    <row r="2" spans="1:20" ht="12" customHeight="1">
      <c r="A2" s="698"/>
      <c r="B2" s="698"/>
      <c r="C2" s="708"/>
      <c r="D2" s="696"/>
      <c r="E2" s="697"/>
      <c r="F2" s="709"/>
      <c r="G2" s="697"/>
      <c r="H2" s="698"/>
      <c r="I2" s="696"/>
      <c r="J2" s="696"/>
      <c r="K2" s="696"/>
      <c r="L2" s="700"/>
      <c r="M2" s="698"/>
      <c r="N2" s="710"/>
      <c r="O2" s="710"/>
      <c r="P2" s="698"/>
      <c r="Q2" s="710"/>
      <c r="R2" s="696"/>
      <c r="S2" s="706"/>
      <c r="T2" s="706"/>
    </row>
    <row r="3" spans="1:18" ht="12" customHeight="1">
      <c r="A3" s="711"/>
      <c r="B3" s="711"/>
      <c r="C3" s="711"/>
      <c r="D3" s="711"/>
      <c r="E3" s="711"/>
      <c r="F3" s="711"/>
      <c r="G3" s="711"/>
      <c r="H3" s="711"/>
      <c r="I3" s="711"/>
      <c r="J3" s="711"/>
      <c r="K3" s="711"/>
      <c r="L3" s="711"/>
      <c r="M3" s="711"/>
      <c r="N3" s="711"/>
      <c r="O3" s="711"/>
      <c r="P3" s="711"/>
      <c r="Q3" s="711"/>
      <c r="R3" s="711"/>
    </row>
    <row r="4" spans="1:18" ht="12" customHeight="1">
      <c r="A4" s="711"/>
      <c r="B4" s="711"/>
      <c r="C4" s="712" t="s">
        <v>315</v>
      </c>
      <c r="D4" s="712"/>
      <c r="E4" s="712"/>
      <c r="F4" s="712"/>
      <c r="G4" s="712"/>
      <c r="H4" s="712"/>
      <c r="I4" s="712"/>
      <c r="J4" s="712"/>
      <c r="K4" s="712"/>
      <c r="L4" s="712"/>
      <c r="M4" s="711"/>
      <c r="N4" s="711"/>
      <c r="O4" s="711"/>
      <c r="P4" s="711"/>
      <c r="Q4" s="711"/>
      <c r="R4" s="711"/>
    </row>
    <row r="5" spans="13:14" ht="12" customHeight="1">
      <c r="M5" s="714"/>
      <c r="N5" s="714"/>
    </row>
    <row r="6" spans="1:16" ht="12" customHeight="1">
      <c r="A6" s="715"/>
      <c r="B6" s="715"/>
      <c r="D6" s="716" t="s">
        <v>312</v>
      </c>
      <c r="E6" s="717"/>
      <c r="F6" s="717"/>
      <c r="G6" s="717"/>
      <c r="H6" s="717"/>
      <c r="I6" s="717"/>
      <c r="J6" s="717"/>
      <c r="K6" s="718"/>
      <c r="L6" s="719"/>
      <c r="M6" s="720"/>
      <c r="N6" s="720"/>
      <c r="O6" s="721"/>
      <c r="P6" s="722"/>
    </row>
    <row r="7" spans="4:17" ht="12" customHeight="1">
      <c r="D7" s="723"/>
      <c r="E7" s="724"/>
      <c r="F7" s="724" t="s">
        <v>313</v>
      </c>
      <c r="G7" s="724"/>
      <c r="H7" s="724"/>
      <c r="I7" s="725"/>
      <c r="J7" s="726" t="s">
        <v>200</v>
      </c>
      <c r="K7" s="727"/>
      <c r="L7" s="728"/>
      <c r="M7" s="729"/>
      <c r="N7" s="730"/>
      <c r="O7" s="731"/>
      <c r="P7" s="722"/>
      <c r="Q7" s="732"/>
    </row>
    <row r="8" spans="4:17" ht="12" customHeight="1">
      <c r="D8" s="733"/>
      <c r="E8" s="734" t="s">
        <v>218</v>
      </c>
      <c r="F8" s="734" t="s">
        <v>189</v>
      </c>
      <c r="G8" s="734"/>
      <c r="H8" s="726" t="s">
        <v>318</v>
      </c>
      <c r="I8" s="726"/>
      <c r="J8" s="726" t="s">
        <v>399</v>
      </c>
      <c r="K8" s="735"/>
      <c r="L8" s="728"/>
      <c r="M8" s="729"/>
      <c r="N8" s="730"/>
      <c r="O8" s="731"/>
      <c r="P8" s="722"/>
      <c r="Q8" s="732"/>
    </row>
    <row r="9" spans="4:17" ht="12" customHeight="1">
      <c r="D9" s="734" t="s">
        <v>144</v>
      </c>
      <c r="E9" s="736" t="s">
        <v>145</v>
      </c>
      <c r="F9" s="736" t="s">
        <v>331</v>
      </c>
      <c r="G9" s="736" t="s">
        <v>159</v>
      </c>
      <c r="H9" s="726" t="s">
        <v>317</v>
      </c>
      <c r="I9" s="737" t="s">
        <v>330</v>
      </c>
      <c r="J9" s="737" t="s">
        <v>397</v>
      </c>
      <c r="K9" s="738" t="s">
        <v>335</v>
      </c>
      <c r="L9" s="728"/>
      <c r="M9" s="729"/>
      <c r="N9" s="730"/>
      <c r="O9" s="731"/>
      <c r="P9" s="722"/>
      <c r="Q9" s="739"/>
    </row>
    <row r="10" spans="1:17" ht="12" customHeight="1">
      <c r="A10" s="740" t="s">
        <v>316</v>
      </c>
      <c r="B10" s="740"/>
      <c r="D10" s="736">
        <v>6100</v>
      </c>
      <c r="E10" s="741">
        <v>6200</v>
      </c>
      <c r="F10" s="741">
        <v>6500</v>
      </c>
      <c r="G10" s="741">
        <v>6600</v>
      </c>
      <c r="H10" s="741">
        <v>6810</v>
      </c>
      <c r="I10" s="742">
        <v>6890</v>
      </c>
      <c r="J10" s="737" t="s">
        <v>398</v>
      </c>
      <c r="K10" s="743" t="s">
        <v>336</v>
      </c>
      <c r="L10" s="728"/>
      <c r="M10" s="744"/>
      <c r="N10" s="730"/>
      <c r="O10" s="731"/>
      <c r="P10" s="722"/>
      <c r="Q10" s="745"/>
    </row>
    <row r="11" spans="1:17" ht="12" customHeight="1">
      <c r="A11" s="746" t="s">
        <v>201</v>
      </c>
      <c r="B11" s="746"/>
      <c r="C11" s="747" t="s">
        <v>6</v>
      </c>
      <c r="D11" s="748">
        <v>312360</v>
      </c>
      <c r="E11" s="748">
        <v>56237</v>
      </c>
      <c r="F11" s="748">
        <v>362534</v>
      </c>
      <c r="G11" s="748">
        <v>33956</v>
      </c>
      <c r="H11" s="749">
        <v>2212</v>
      </c>
      <c r="I11" s="749"/>
      <c r="J11" s="749"/>
      <c r="K11" s="749"/>
      <c r="L11" s="750" t="s">
        <v>6</v>
      </c>
      <c r="M11" s="751"/>
      <c r="N11" s="751"/>
      <c r="O11" s="750"/>
      <c r="P11" s="752"/>
      <c r="Q11" s="753"/>
    </row>
    <row r="12" spans="1:17" ht="12" customHeight="1">
      <c r="A12" s="707" t="s">
        <v>161</v>
      </c>
      <c r="C12" s="747"/>
      <c r="D12" s="754"/>
      <c r="E12" s="754"/>
      <c r="F12" s="754"/>
      <c r="G12" s="754"/>
      <c r="H12" s="755"/>
      <c r="I12" s="755"/>
      <c r="J12" s="755"/>
      <c r="K12" s="755"/>
      <c r="L12" s="753"/>
      <c r="M12" s="756"/>
      <c r="N12" s="756"/>
      <c r="O12" s="753"/>
      <c r="P12" s="757"/>
      <c r="Q12" s="753"/>
    </row>
    <row r="13" spans="1:17" ht="12" customHeight="1">
      <c r="A13" s="746" t="s">
        <v>321</v>
      </c>
      <c r="B13" s="746"/>
      <c r="C13" s="747" t="s">
        <v>7</v>
      </c>
      <c r="D13" s="758"/>
      <c r="E13" s="758"/>
      <c r="F13" s="758"/>
      <c r="G13" s="758"/>
      <c r="H13" s="759"/>
      <c r="I13" s="759"/>
      <c r="J13" s="759"/>
      <c r="K13" s="759"/>
      <c r="L13" s="753" t="s">
        <v>7</v>
      </c>
      <c r="M13" s="756"/>
      <c r="N13" s="756"/>
      <c r="O13" s="753"/>
      <c r="P13" s="757"/>
      <c r="Q13" s="753"/>
    </row>
    <row r="14" spans="1:17" ht="12" customHeight="1">
      <c r="A14" s="746" t="s">
        <v>322</v>
      </c>
      <c r="B14" s="746"/>
      <c r="C14" s="747" t="s">
        <v>8</v>
      </c>
      <c r="D14" s="748"/>
      <c r="E14" s="748"/>
      <c r="F14" s="748"/>
      <c r="G14" s="748"/>
      <c r="H14" s="749"/>
      <c r="I14" s="749"/>
      <c r="J14" s="749"/>
      <c r="K14" s="749"/>
      <c r="L14" s="753" t="s">
        <v>8</v>
      </c>
      <c r="M14" s="751"/>
      <c r="N14" s="751"/>
      <c r="O14" s="753"/>
      <c r="P14" s="752"/>
      <c r="Q14" s="753"/>
    </row>
    <row r="15" spans="1:17" ht="12" customHeight="1">
      <c r="A15" s="746" t="s">
        <v>323</v>
      </c>
      <c r="B15" s="746"/>
      <c r="C15" s="747" t="s">
        <v>9</v>
      </c>
      <c r="D15" s="748">
        <v>60080</v>
      </c>
      <c r="E15" s="748">
        <v>18367</v>
      </c>
      <c r="F15" s="748">
        <v>243497</v>
      </c>
      <c r="G15" s="748">
        <v>18008</v>
      </c>
      <c r="H15" s="749"/>
      <c r="I15" s="749"/>
      <c r="J15" s="749"/>
      <c r="K15" s="749"/>
      <c r="L15" s="753" t="s">
        <v>9</v>
      </c>
      <c r="M15" s="751"/>
      <c r="N15" s="751"/>
      <c r="O15" s="753"/>
      <c r="P15" s="752"/>
      <c r="Q15" s="753"/>
    </row>
    <row r="16" spans="1:17" ht="12" customHeight="1">
      <c r="A16" s="760" t="s">
        <v>324</v>
      </c>
      <c r="B16" s="760"/>
      <c r="C16" s="761" t="s">
        <v>10</v>
      </c>
      <c r="D16" s="748">
        <v>195400</v>
      </c>
      <c r="E16" s="748">
        <v>56325</v>
      </c>
      <c r="F16" s="748"/>
      <c r="G16" s="748">
        <v>10504</v>
      </c>
      <c r="H16" s="749"/>
      <c r="I16" s="749" t="s">
        <v>3</v>
      </c>
      <c r="J16" s="749"/>
      <c r="K16" s="749"/>
      <c r="L16" s="762" t="s">
        <v>10</v>
      </c>
      <c r="M16" s="751"/>
      <c r="N16" s="751"/>
      <c r="O16" s="762"/>
      <c r="P16" s="752"/>
      <c r="Q16" s="762"/>
    </row>
    <row r="17" spans="1:17" ht="12" customHeight="1">
      <c r="A17" s="763" t="s">
        <v>325</v>
      </c>
      <c r="B17" s="763"/>
      <c r="C17" s="761" t="s">
        <v>11</v>
      </c>
      <c r="D17" s="748"/>
      <c r="E17" s="748"/>
      <c r="F17" s="748"/>
      <c r="G17" s="748"/>
      <c r="H17" s="749"/>
      <c r="I17" s="749" t="s">
        <v>3</v>
      </c>
      <c r="J17" s="749"/>
      <c r="K17" s="749"/>
      <c r="L17" s="762" t="s">
        <v>11</v>
      </c>
      <c r="M17" s="751"/>
      <c r="N17" s="751"/>
      <c r="O17" s="762"/>
      <c r="P17" s="752"/>
      <c r="Q17" s="762"/>
    </row>
    <row r="18" spans="1:17" ht="12" customHeight="1">
      <c r="A18" s="746" t="s">
        <v>326</v>
      </c>
      <c r="B18" s="746"/>
      <c r="C18" s="761" t="s">
        <v>12</v>
      </c>
      <c r="D18" s="748"/>
      <c r="E18" s="748"/>
      <c r="F18" s="748">
        <v>28373</v>
      </c>
      <c r="G18" s="748"/>
      <c r="H18" s="749"/>
      <c r="I18" s="749">
        <v>187117</v>
      </c>
      <c r="J18" s="749"/>
      <c r="K18" s="749"/>
      <c r="L18" s="762" t="s">
        <v>12</v>
      </c>
      <c r="M18" s="751"/>
      <c r="N18" s="751"/>
      <c r="O18" s="762"/>
      <c r="P18" s="752"/>
      <c r="Q18" s="762"/>
    </row>
    <row r="19" spans="1:17" ht="12" customHeight="1">
      <c r="A19" s="764" t="s">
        <v>327</v>
      </c>
      <c r="B19" s="764"/>
      <c r="C19" s="761" t="s">
        <v>14</v>
      </c>
      <c r="D19" s="748"/>
      <c r="E19" s="748"/>
      <c r="F19" s="748"/>
      <c r="G19" s="748"/>
      <c r="H19" s="749"/>
      <c r="I19" s="749"/>
      <c r="J19" s="749"/>
      <c r="K19" s="749"/>
      <c r="L19" s="762" t="s">
        <v>14</v>
      </c>
      <c r="M19" s="751"/>
      <c r="N19" s="751"/>
      <c r="O19" s="762"/>
      <c r="P19" s="752"/>
      <c r="Q19" s="762"/>
    </row>
    <row r="20" spans="1:17" ht="12" customHeight="1">
      <c r="A20" s="746" t="s">
        <v>319</v>
      </c>
      <c r="B20" s="746"/>
      <c r="C20" s="761"/>
      <c r="D20" s="754"/>
      <c r="E20" s="754"/>
      <c r="F20" s="754"/>
      <c r="G20" s="754"/>
      <c r="H20" s="755"/>
      <c r="I20" s="755"/>
      <c r="J20" s="755"/>
      <c r="K20" s="755"/>
      <c r="L20" s="762"/>
      <c r="M20" s="756"/>
      <c r="N20" s="756"/>
      <c r="O20" s="762"/>
      <c r="P20" s="757"/>
      <c r="Q20" s="762"/>
    </row>
    <row r="21" spans="1:17" ht="12" customHeight="1">
      <c r="A21" s="764" t="s">
        <v>328</v>
      </c>
      <c r="B21" s="764"/>
      <c r="C21" s="761" t="s">
        <v>15</v>
      </c>
      <c r="D21" s="758"/>
      <c r="E21" s="758"/>
      <c r="F21" s="758"/>
      <c r="G21" s="758"/>
      <c r="H21" s="759"/>
      <c r="I21" s="759">
        <v>26840</v>
      </c>
      <c r="J21" s="759"/>
      <c r="K21" s="759"/>
      <c r="L21" s="762" t="s">
        <v>15</v>
      </c>
      <c r="M21" s="756"/>
      <c r="N21" s="756"/>
      <c r="O21" s="762"/>
      <c r="P21" s="757"/>
      <c r="Q21" s="762"/>
    </row>
    <row r="22" spans="1:17" ht="12" customHeight="1">
      <c r="A22" s="764" t="s">
        <v>329</v>
      </c>
      <c r="B22" s="764"/>
      <c r="C22" s="761" t="s">
        <v>16</v>
      </c>
      <c r="D22" s="765"/>
      <c r="E22" s="765"/>
      <c r="F22" s="765"/>
      <c r="G22" s="765"/>
      <c r="H22" s="766"/>
      <c r="I22" s="766"/>
      <c r="J22" s="766"/>
      <c r="K22" s="766"/>
      <c r="L22" s="762" t="s">
        <v>16</v>
      </c>
      <c r="M22" s="756"/>
      <c r="N22" s="756"/>
      <c r="O22" s="762"/>
      <c r="P22" s="752"/>
      <c r="Q22" s="762"/>
    </row>
    <row r="23" spans="1:17" ht="12" customHeight="1">
      <c r="A23" s="764" t="s">
        <v>320</v>
      </c>
      <c r="B23" s="764"/>
      <c r="C23" s="761" t="s">
        <v>17</v>
      </c>
      <c r="D23" s="765"/>
      <c r="E23" s="765"/>
      <c r="F23" s="765"/>
      <c r="G23" s="765"/>
      <c r="H23" s="766"/>
      <c r="I23" s="766"/>
      <c r="J23" s="766"/>
      <c r="K23" s="766"/>
      <c r="L23" s="762" t="s">
        <v>17</v>
      </c>
      <c r="M23" s="756"/>
      <c r="N23" s="756"/>
      <c r="O23" s="762"/>
      <c r="P23" s="752"/>
      <c r="Q23" s="762"/>
    </row>
    <row r="24" spans="1:17" ht="12" customHeight="1">
      <c r="A24" s="746" t="s">
        <v>334</v>
      </c>
      <c r="B24" s="746"/>
      <c r="C24" s="761" t="s">
        <v>18</v>
      </c>
      <c r="D24" s="767">
        <f aca="true" t="shared" si="0" ref="D24:K24">SUM(D11:D23)</f>
        <v>567840</v>
      </c>
      <c r="E24" s="767">
        <f t="shared" si="0"/>
        <v>130929</v>
      </c>
      <c r="F24" s="767">
        <f t="shared" si="0"/>
        <v>634404</v>
      </c>
      <c r="G24" s="767">
        <f t="shared" si="0"/>
        <v>62468</v>
      </c>
      <c r="H24" s="767">
        <f t="shared" si="0"/>
        <v>2212</v>
      </c>
      <c r="I24" s="767">
        <f t="shared" si="0"/>
        <v>213957</v>
      </c>
      <c r="J24" s="767">
        <f>SUM(J11:J23)</f>
        <v>0</v>
      </c>
      <c r="K24" s="767">
        <f t="shared" si="0"/>
        <v>0</v>
      </c>
      <c r="L24" s="762" t="s">
        <v>18</v>
      </c>
      <c r="M24" s="756"/>
      <c r="N24" s="756"/>
      <c r="O24" s="762"/>
      <c r="P24" s="768"/>
      <c r="Q24" s="762"/>
    </row>
    <row r="25" spans="1:17" ht="12" customHeight="1">
      <c r="A25" s="746"/>
      <c r="B25" s="746"/>
      <c r="C25" s="761"/>
      <c r="D25" s="769"/>
      <c r="E25" s="769"/>
      <c r="F25" s="769"/>
      <c r="G25" s="769"/>
      <c r="H25" s="769"/>
      <c r="I25" s="769"/>
      <c r="J25" s="769"/>
      <c r="K25" s="769"/>
      <c r="L25" s="769"/>
      <c r="M25" s="770"/>
      <c r="N25" s="770"/>
      <c r="O25" s="762"/>
      <c r="P25" s="768"/>
      <c r="Q25" s="762"/>
    </row>
    <row r="26" spans="1:17" ht="12" customHeight="1">
      <c r="A26" s="746"/>
      <c r="B26" s="746"/>
      <c r="C26" s="761"/>
      <c r="D26" s="769"/>
      <c r="E26" s="769"/>
      <c r="F26" s="769"/>
      <c r="G26" s="770"/>
      <c r="H26" s="770"/>
      <c r="I26" s="770"/>
      <c r="J26" s="770"/>
      <c r="K26" s="770"/>
      <c r="L26" s="770"/>
      <c r="M26" s="770"/>
      <c r="N26" s="770"/>
      <c r="O26" s="771"/>
      <c r="P26" s="772"/>
      <c r="Q26" s="771"/>
    </row>
    <row r="27" spans="4:17" s="773" customFormat="1" ht="12" customHeight="1">
      <c r="D27" s="774" t="s">
        <v>337</v>
      </c>
      <c r="E27" s="775"/>
      <c r="G27" s="776"/>
      <c r="H27" s="777" t="s">
        <v>490</v>
      </c>
      <c r="I27" s="778"/>
      <c r="J27" s="777"/>
      <c r="K27" s="779"/>
      <c r="L27" s="776"/>
      <c r="M27" s="776"/>
      <c r="N27" s="776"/>
      <c r="O27" s="776"/>
      <c r="P27" s="776"/>
      <c r="Q27" s="776"/>
    </row>
    <row r="28" spans="3:17" s="773" customFormat="1" ht="12" customHeight="1">
      <c r="C28" s="780"/>
      <c r="D28" s="781" t="s">
        <v>338</v>
      </c>
      <c r="E28" s="782"/>
      <c r="G28" s="776"/>
      <c r="H28" s="783" t="s">
        <v>491</v>
      </c>
      <c r="I28" s="783"/>
      <c r="J28" s="784"/>
      <c r="K28" s="765">
        <v>0</v>
      </c>
      <c r="L28" s="780" t="s">
        <v>6</v>
      </c>
      <c r="M28" s="776"/>
      <c r="N28" s="776"/>
      <c r="O28" s="776"/>
      <c r="P28" s="776"/>
      <c r="Q28" s="776"/>
    </row>
    <row r="29" spans="3:17" s="773" customFormat="1" ht="12" customHeight="1">
      <c r="C29" s="780"/>
      <c r="D29" s="781" t="s">
        <v>341</v>
      </c>
      <c r="E29" s="785" t="s">
        <v>339</v>
      </c>
      <c r="G29" s="776"/>
      <c r="H29" s="783" t="s">
        <v>492</v>
      </c>
      <c r="I29" s="783"/>
      <c r="J29" s="784"/>
      <c r="K29" s="765">
        <v>0</v>
      </c>
      <c r="L29" s="780" t="s">
        <v>7</v>
      </c>
      <c r="M29" s="776"/>
      <c r="N29" s="776"/>
      <c r="O29" s="776"/>
      <c r="P29" s="776"/>
      <c r="Q29" s="776"/>
    </row>
    <row r="30" spans="3:17" s="773" customFormat="1" ht="12" customHeight="1">
      <c r="C30" s="780"/>
      <c r="D30" s="786" t="s">
        <v>340</v>
      </c>
      <c r="E30" s="787" t="s">
        <v>336</v>
      </c>
      <c r="G30" s="776"/>
      <c r="H30" s="783" t="s">
        <v>493</v>
      </c>
      <c r="I30" s="783"/>
      <c r="J30" s="784"/>
      <c r="K30" s="765">
        <v>0</v>
      </c>
      <c r="L30" s="780" t="s">
        <v>8</v>
      </c>
      <c r="N30" s="776"/>
      <c r="O30" s="776"/>
      <c r="P30" s="776"/>
      <c r="Q30" s="776"/>
    </row>
    <row r="31" spans="1:17" s="773" customFormat="1" ht="12" customHeight="1">
      <c r="A31" s="788" t="s">
        <v>410</v>
      </c>
      <c r="B31" s="788"/>
      <c r="C31" s="784"/>
      <c r="D31" s="765">
        <v>0</v>
      </c>
      <c r="E31" s="765">
        <v>0</v>
      </c>
      <c r="F31" s="789" t="s">
        <v>6</v>
      </c>
      <c r="G31" s="790"/>
      <c r="M31" s="789"/>
      <c r="N31" s="791"/>
      <c r="O31" s="776"/>
      <c r="P31" s="792"/>
      <c r="Q31" s="776"/>
    </row>
    <row r="32" spans="1:17" s="773" customFormat="1" ht="12" customHeight="1">
      <c r="A32" s="788" t="s">
        <v>411</v>
      </c>
      <c r="B32" s="788"/>
      <c r="C32" s="784"/>
      <c r="D32" s="765">
        <v>0</v>
      </c>
      <c r="E32" s="765">
        <v>0</v>
      </c>
      <c r="F32" s="789" t="s">
        <v>7</v>
      </c>
      <c r="G32" s="790"/>
      <c r="M32" s="789"/>
      <c r="N32" s="792"/>
      <c r="O32" s="776"/>
      <c r="P32" s="770"/>
      <c r="Q32" s="793"/>
    </row>
    <row r="33" spans="1:17" s="773" customFormat="1" ht="12" customHeight="1">
      <c r="A33" s="788" t="s">
        <v>412</v>
      </c>
      <c r="B33" s="788"/>
      <c r="C33" s="784"/>
      <c r="D33" s="765">
        <v>0</v>
      </c>
      <c r="E33" s="765">
        <v>0</v>
      </c>
      <c r="F33" s="789" t="s">
        <v>8</v>
      </c>
      <c r="G33" s="790"/>
      <c r="H33" s="777" t="s">
        <v>424</v>
      </c>
      <c r="I33" s="778"/>
      <c r="M33" s="776"/>
      <c r="N33" s="792"/>
      <c r="O33" s="776"/>
      <c r="P33" s="770"/>
      <c r="Q33" s="793"/>
    </row>
    <row r="34" spans="1:17" s="773" customFormat="1" ht="12" customHeight="1">
      <c r="A34" s="788" t="s">
        <v>413</v>
      </c>
      <c r="B34" s="788"/>
      <c r="C34" s="784"/>
      <c r="D34" s="765">
        <v>0</v>
      </c>
      <c r="E34" s="765">
        <v>0</v>
      </c>
      <c r="F34" s="789" t="s">
        <v>9</v>
      </c>
      <c r="G34" s="790"/>
      <c r="H34" s="783" t="s">
        <v>465</v>
      </c>
      <c r="I34" s="783"/>
      <c r="J34" s="784"/>
      <c r="K34" s="765">
        <v>4166541</v>
      </c>
      <c r="L34" s="780" t="s">
        <v>6</v>
      </c>
      <c r="M34" s="776"/>
      <c r="N34" s="770"/>
      <c r="O34" s="793"/>
      <c r="P34" s="770"/>
      <c r="Q34" s="793"/>
    </row>
    <row r="35" spans="1:17" s="773" customFormat="1" ht="12" customHeight="1">
      <c r="A35" s="794"/>
      <c r="B35" s="794"/>
      <c r="C35" s="780"/>
      <c r="D35" s="794"/>
      <c r="E35" s="794"/>
      <c r="F35" s="789"/>
      <c r="G35" s="790"/>
      <c r="H35" s="783" t="s">
        <v>466</v>
      </c>
      <c r="I35" s="783"/>
      <c r="J35" s="784"/>
      <c r="K35" s="765">
        <v>0</v>
      </c>
      <c r="L35" s="780" t="s">
        <v>7</v>
      </c>
      <c r="M35" s="776"/>
      <c r="N35" s="770"/>
      <c r="O35" s="793"/>
      <c r="P35" s="770"/>
      <c r="Q35" s="793"/>
    </row>
    <row r="36" spans="1:17" s="773" customFormat="1" ht="12" customHeight="1">
      <c r="A36" s="794"/>
      <c r="B36" s="794"/>
      <c r="C36" s="780"/>
      <c r="D36" s="794"/>
      <c r="E36" s="794"/>
      <c r="F36" s="789"/>
      <c r="G36" s="790"/>
      <c r="H36" s="783" t="s">
        <v>467</v>
      </c>
      <c r="I36" s="783"/>
      <c r="J36" s="784"/>
      <c r="K36" s="765">
        <v>19830</v>
      </c>
      <c r="L36" s="780" t="s">
        <v>8</v>
      </c>
      <c r="M36" s="776"/>
      <c r="N36" s="770"/>
      <c r="O36" s="793"/>
      <c r="P36" s="770"/>
      <c r="Q36" s="793"/>
    </row>
    <row r="37" spans="1:17" s="773" customFormat="1" ht="12" customHeight="1">
      <c r="A37" s="777" t="s">
        <v>346</v>
      </c>
      <c r="B37" s="778"/>
      <c r="C37" s="709"/>
      <c r="D37" s="795" t="s">
        <v>333</v>
      </c>
      <c r="E37" s="709"/>
      <c r="F37" s="789"/>
      <c r="G37" s="790"/>
      <c r="H37" s="783" t="s">
        <v>468</v>
      </c>
      <c r="I37" s="783"/>
      <c r="J37" s="784"/>
      <c r="K37" s="767">
        <f>K34+K35-K36</f>
        <v>4146711</v>
      </c>
      <c r="L37" s="780" t="s">
        <v>9</v>
      </c>
      <c r="M37" s="776"/>
      <c r="N37" s="770"/>
      <c r="O37" s="793"/>
      <c r="P37" s="770"/>
      <c r="Q37" s="793"/>
    </row>
    <row r="38" spans="1:17" ht="12" customHeight="1">
      <c r="A38" s="796" t="s">
        <v>414</v>
      </c>
      <c r="B38" s="796"/>
      <c r="C38" s="797"/>
      <c r="D38" s="798">
        <v>0</v>
      </c>
      <c r="E38" s="789" t="s">
        <v>6</v>
      </c>
      <c r="G38" s="714"/>
      <c r="M38" s="714"/>
      <c r="N38" s="714"/>
      <c r="O38" s="714"/>
      <c r="P38" s="714"/>
      <c r="Q38" s="714"/>
    </row>
    <row r="39" spans="1:17" ht="12" customHeight="1">
      <c r="A39" s="796" t="s">
        <v>415</v>
      </c>
      <c r="B39" s="796"/>
      <c r="C39" s="797"/>
      <c r="D39" s="799">
        <v>16966</v>
      </c>
      <c r="E39" s="789" t="s">
        <v>7</v>
      </c>
      <c r="G39" s="714"/>
      <c r="H39" s="783" t="s">
        <v>469</v>
      </c>
      <c r="I39" s="783"/>
      <c r="J39" s="788"/>
      <c r="K39" s="765">
        <v>19830</v>
      </c>
      <c r="L39" s="780" t="s">
        <v>10</v>
      </c>
      <c r="M39" s="714"/>
      <c r="N39" s="714"/>
      <c r="O39" s="714"/>
      <c r="P39" s="714"/>
      <c r="Q39" s="714"/>
    </row>
    <row r="40" spans="1:17" ht="12" customHeight="1">
      <c r="A40" s="796" t="s">
        <v>416</v>
      </c>
      <c r="B40" s="796"/>
      <c r="C40" s="797"/>
      <c r="D40" s="799">
        <v>36251</v>
      </c>
      <c r="E40" s="789" t="s">
        <v>8</v>
      </c>
      <c r="G40" s="714"/>
      <c r="H40" s="783" t="s">
        <v>470</v>
      </c>
      <c r="I40" s="783"/>
      <c r="J40" s="783"/>
      <c r="K40" s="765">
        <v>19830</v>
      </c>
      <c r="L40" s="780" t="s">
        <v>11</v>
      </c>
      <c r="M40" s="714"/>
      <c r="N40" s="714"/>
      <c r="O40" s="714"/>
      <c r="P40" s="714"/>
      <c r="Q40" s="714"/>
    </row>
    <row r="41" spans="1:17" ht="12" customHeight="1">
      <c r="A41" s="796" t="s">
        <v>417</v>
      </c>
      <c r="B41" s="796"/>
      <c r="C41" s="797"/>
      <c r="D41" s="799">
        <v>0</v>
      </c>
      <c r="E41" s="789" t="s">
        <v>9</v>
      </c>
      <c r="G41" s="714"/>
      <c r="M41" s="789"/>
      <c r="N41" s="714"/>
      <c r="O41" s="714"/>
      <c r="P41" s="714"/>
      <c r="Q41" s="714"/>
    </row>
    <row r="42" spans="1:17" ht="12" customHeight="1">
      <c r="A42" s="709"/>
      <c r="B42" s="709"/>
      <c r="C42" s="780"/>
      <c r="D42" s="697"/>
      <c r="E42" s="697"/>
      <c r="G42" s="714"/>
      <c r="H42" s="800"/>
      <c r="I42" s="792"/>
      <c r="J42" s="792"/>
      <c r="K42" s="792"/>
      <c r="L42" s="792"/>
      <c r="M42" s="789"/>
      <c r="N42" s="714"/>
      <c r="O42" s="714"/>
      <c r="P42" s="714"/>
      <c r="Q42" s="714"/>
    </row>
    <row r="43" spans="1:17" s="773" customFormat="1" ht="12" customHeight="1">
      <c r="A43" s="707"/>
      <c r="B43" s="707"/>
      <c r="C43" s="707"/>
      <c r="D43" s="801"/>
      <c r="E43" s="707"/>
      <c r="F43" s="802"/>
      <c r="G43" s="790"/>
      <c r="H43" s="777" t="s">
        <v>426</v>
      </c>
      <c r="I43" s="778"/>
      <c r="J43" s="777"/>
      <c r="M43" s="776"/>
      <c r="N43" s="770"/>
      <c r="O43" s="803"/>
      <c r="P43" s="770"/>
      <c r="Q43" s="793"/>
    </row>
    <row r="44" spans="1:17" ht="12.75" customHeight="1">
      <c r="A44" s="804" t="s">
        <v>332</v>
      </c>
      <c r="B44" s="805"/>
      <c r="D44" s="786" t="s">
        <v>333</v>
      </c>
      <c r="G44" s="714"/>
      <c r="H44" s="783" t="s">
        <v>420</v>
      </c>
      <c r="I44" s="783"/>
      <c r="J44" s="784"/>
      <c r="K44" s="765">
        <v>0</v>
      </c>
      <c r="L44" s="780" t="s">
        <v>6</v>
      </c>
      <c r="M44" s="714"/>
      <c r="N44" s="714"/>
      <c r="O44" s="714"/>
      <c r="P44" s="714"/>
      <c r="Q44" s="714"/>
    </row>
    <row r="45" spans="1:17" ht="12.75" customHeight="1">
      <c r="A45" s="783" t="s">
        <v>418</v>
      </c>
      <c r="B45" s="783"/>
      <c r="C45" s="784"/>
      <c r="D45" s="798">
        <v>284119</v>
      </c>
      <c r="E45" s="789" t="s">
        <v>6</v>
      </c>
      <c r="H45" s="783" t="s">
        <v>428</v>
      </c>
      <c r="I45" s="783"/>
      <c r="J45" s="784"/>
      <c r="K45" s="765">
        <v>0</v>
      </c>
      <c r="L45" s="780" t="s">
        <v>7</v>
      </c>
      <c r="M45" s="714"/>
      <c r="N45" s="714"/>
      <c r="O45" s="714"/>
      <c r="P45" s="714"/>
      <c r="Q45" s="714"/>
    </row>
    <row r="46" spans="1:17" ht="12.75" customHeight="1">
      <c r="A46" s="783" t="s">
        <v>419</v>
      </c>
      <c r="B46" s="783"/>
      <c r="C46" s="784"/>
      <c r="D46" s="806"/>
      <c r="E46" s="789" t="s">
        <v>7</v>
      </c>
      <c r="G46" s="746"/>
      <c r="M46" s="714"/>
      <c r="N46" s="714"/>
      <c r="O46" s="714"/>
      <c r="P46" s="714"/>
      <c r="Q46" s="714"/>
    </row>
    <row r="47" spans="13:17" ht="12.75" customHeight="1">
      <c r="M47" s="714"/>
      <c r="N47" s="714"/>
      <c r="O47" s="714"/>
      <c r="P47" s="714"/>
      <c r="Q47" s="714"/>
    </row>
    <row r="48" spans="8:17" ht="12.75" customHeight="1">
      <c r="H48" s="777" t="s">
        <v>427</v>
      </c>
      <c r="I48" s="777"/>
      <c r="M48" s="714"/>
      <c r="N48" s="714"/>
      <c r="O48" s="714"/>
      <c r="P48" s="714"/>
      <c r="Q48" s="714"/>
    </row>
    <row r="49" spans="1:17" ht="12.75" customHeight="1">
      <c r="A49" s="794"/>
      <c r="B49" s="794"/>
      <c r="C49" s="780"/>
      <c r="D49" s="794"/>
      <c r="E49" s="794"/>
      <c r="G49" s="714"/>
      <c r="H49" s="746" t="s">
        <v>431</v>
      </c>
      <c r="I49" s="746"/>
      <c r="J49" s="807"/>
      <c r="K49" s="765">
        <v>0</v>
      </c>
      <c r="L49" s="780" t="s">
        <v>6</v>
      </c>
      <c r="M49" s="714"/>
      <c r="N49" s="714"/>
      <c r="O49" s="714"/>
      <c r="P49" s="714"/>
      <c r="Q49" s="714"/>
    </row>
    <row r="50" spans="1:17" ht="12.75" customHeight="1">
      <c r="A50" s="794"/>
      <c r="B50" s="794"/>
      <c r="C50" s="780"/>
      <c r="D50" s="794"/>
      <c r="E50" s="794"/>
      <c r="G50" s="714"/>
      <c r="H50" s="746" t="s">
        <v>430</v>
      </c>
      <c r="I50" s="746"/>
      <c r="J50" s="807"/>
      <c r="K50" s="765">
        <v>0</v>
      </c>
      <c r="L50" s="780" t="s">
        <v>7</v>
      </c>
      <c r="M50" s="714"/>
      <c r="N50" s="714"/>
      <c r="O50" s="714"/>
      <c r="P50" s="714"/>
      <c r="Q50" s="714"/>
    </row>
    <row r="51" spans="1:17" ht="12.75" customHeight="1">
      <c r="A51" s="794"/>
      <c r="B51" s="794"/>
      <c r="C51" s="780"/>
      <c r="D51" s="794"/>
      <c r="E51" s="794"/>
      <c r="G51" s="714"/>
      <c r="H51" s="746" t="s">
        <v>421</v>
      </c>
      <c r="I51" s="746"/>
      <c r="J51" s="807"/>
      <c r="K51" s="808">
        <f>SUM(K49:K50)</f>
        <v>0</v>
      </c>
      <c r="L51" s="780" t="s">
        <v>8</v>
      </c>
      <c r="M51" s="714"/>
      <c r="N51" s="714"/>
      <c r="O51" s="714"/>
      <c r="P51" s="714"/>
      <c r="Q51" s="714"/>
    </row>
  </sheetData>
  <sheetProtection sheet="1" formatCells="0" formatColumns="0" formatRows="0"/>
  <mergeCells count="29">
    <mergeCell ref="A31:C31"/>
    <mergeCell ref="H28:J28"/>
    <mergeCell ref="H29:J29"/>
    <mergeCell ref="H30:J30"/>
    <mergeCell ref="F1:G1"/>
    <mergeCell ref="D6:K6"/>
    <mergeCell ref="C4:L4"/>
    <mergeCell ref="H35:J35"/>
    <mergeCell ref="Q1:R1"/>
    <mergeCell ref="P12:P13"/>
    <mergeCell ref="P20:P21"/>
    <mergeCell ref="P6:P10"/>
    <mergeCell ref="N1:O1"/>
    <mergeCell ref="H36:J36"/>
    <mergeCell ref="H37:J37"/>
    <mergeCell ref="H44:J44"/>
    <mergeCell ref="H45:J45"/>
    <mergeCell ref="A32:C32"/>
    <mergeCell ref="A33:C33"/>
    <mergeCell ref="A34:C34"/>
    <mergeCell ref="A38:C38"/>
    <mergeCell ref="A39:C39"/>
    <mergeCell ref="H34:J34"/>
    <mergeCell ref="A40:C40"/>
    <mergeCell ref="A41:C41"/>
    <mergeCell ref="A45:C45"/>
    <mergeCell ref="A46:C46"/>
    <mergeCell ref="H40:J40"/>
    <mergeCell ref="H39:J39"/>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pageMargins left="0.75" right="0.25" top="0.25" bottom="0.25" header="0.5" footer="0.15"/>
  <pageSetup fitToHeight="1" fitToWidth="1" horizontalDpi="600" verticalDpi="600" orientation="landscape" scale="71" r:id="rId2"/>
  <headerFooter>
    <oddFooter>&amp;LRev. 8/17&amp;CFY 2017&amp;RPage 10 of 10</oddFooter>
  </headerFooter>
  <drawing r:id="rId1"/>
</worksheet>
</file>

<file path=xl/worksheets/sheet12.xml><?xml version="1.0" encoding="utf-8"?>
<worksheet xmlns="http://schemas.openxmlformats.org/spreadsheetml/2006/main" xmlns:r="http://schemas.openxmlformats.org/officeDocument/2006/relationships">
  <dimension ref="A1:O48"/>
  <sheetViews>
    <sheetView showGridLines="0" workbookViewId="0" topLeftCell="A1">
      <selection activeCell="A1" sqref="A1"/>
    </sheetView>
  </sheetViews>
  <sheetFormatPr defaultColWidth="9.33203125" defaultRowHeight="12.75"/>
  <cols>
    <col min="1" max="1" width="9.66015625" style="273" bestFit="1" customWidth="1"/>
    <col min="2" max="2" width="25.16015625" style="273" customWidth="1"/>
    <col min="3" max="3" width="101.33203125" style="273" customWidth="1"/>
    <col min="4" max="4" width="13.33203125" style="283" customWidth="1"/>
    <col min="5" max="16384" width="9.33203125" style="273" customWidth="1"/>
  </cols>
  <sheetData>
    <row r="1" spans="1:3" ht="24.75" customHeight="1">
      <c r="A1" s="281" t="s">
        <v>351</v>
      </c>
      <c r="B1" s="281" t="s">
        <v>352</v>
      </c>
      <c r="C1" s="282"/>
    </row>
    <row r="2" spans="1:7" ht="66" customHeight="1">
      <c r="A2" s="688" t="s">
        <v>353</v>
      </c>
      <c r="B2" s="689"/>
      <c r="C2" s="284" t="s">
        <v>382</v>
      </c>
      <c r="F2" s="133"/>
      <c r="G2" s="133"/>
    </row>
    <row r="3" spans="1:7" ht="63" customHeight="1">
      <c r="A3" s="690"/>
      <c r="B3" s="691"/>
      <c r="C3" s="285" t="s">
        <v>380</v>
      </c>
      <c r="F3" s="286"/>
      <c r="G3" s="287"/>
    </row>
    <row r="4" spans="1:3" ht="44.25" customHeight="1">
      <c r="A4" s="690"/>
      <c r="B4" s="691"/>
      <c r="C4" s="288" t="s">
        <v>403</v>
      </c>
    </row>
    <row r="5" spans="1:3" ht="162.75" customHeight="1">
      <c r="A5" s="690"/>
      <c r="B5" s="691"/>
      <c r="C5" s="284" t="s">
        <v>439</v>
      </c>
    </row>
    <row r="6" spans="1:3" ht="65.25" customHeight="1">
      <c r="A6" s="692"/>
      <c r="B6" s="693"/>
      <c r="C6" s="288" t="s">
        <v>379</v>
      </c>
    </row>
    <row r="7" spans="1:3" ht="65.25" customHeight="1">
      <c r="A7" s="300" t="s">
        <v>354</v>
      </c>
      <c r="B7" s="289" t="s">
        <v>355</v>
      </c>
      <c r="C7" s="288" t="s">
        <v>356</v>
      </c>
    </row>
    <row r="8" spans="1:3" ht="21" customHeight="1">
      <c r="A8" s="290">
        <v>1</v>
      </c>
      <c r="B8" s="291" t="s">
        <v>353</v>
      </c>
      <c r="C8" s="288" t="s">
        <v>357</v>
      </c>
    </row>
    <row r="9" spans="1:3" ht="54" customHeight="1">
      <c r="A9" s="295">
        <v>1</v>
      </c>
      <c r="B9" s="291" t="s">
        <v>433</v>
      </c>
      <c r="C9" s="288" t="s">
        <v>434</v>
      </c>
    </row>
    <row r="10" spans="1:3" ht="84" customHeight="1">
      <c r="A10" s="295">
        <v>1</v>
      </c>
      <c r="B10" s="292" t="s">
        <v>400</v>
      </c>
      <c r="C10" s="293" t="s">
        <v>404</v>
      </c>
    </row>
    <row r="11" spans="1:3" ht="69.75" customHeight="1">
      <c r="A11" s="295">
        <v>1</v>
      </c>
      <c r="B11" s="292" t="s">
        <v>401</v>
      </c>
      <c r="C11" s="293" t="s">
        <v>405</v>
      </c>
    </row>
    <row r="12" spans="1:4" ht="110.25" customHeight="1">
      <c r="A12" s="290">
        <v>2</v>
      </c>
      <c r="B12" s="292" t="s">
        <v>435</v>
      </c>
      <c r="C12" s="293" t="s">
        <v>437</v>
      </c>
      <c r="D12" s="294"/>
    </row>
    <row r="13" spans="1:3" ht="47.25" customHeight="1">
      <c r="A13" s="290">
        <v>2</v>
      </c>
      <c r="B13" s="292" t="s">
        <v>436</v>
      </c>
      <c r="C13" s="288" t="s">
        <v>438</v>
      </c>
    </row>
    <row r="14" spans="1:3" ht="111.75" customHeight="1">
      <c r="A14" s="295">
        <v>7</v>
      </c>
      <c r="B14" s="292" t="s">
        <v>471</v>
      </c>
      <c r="C14" s="293" t="s">
        <v>440</v>
      </c>
    </row>
    <row r="15" spans="1:3" ht="93.75" customHeight="1">
      <c r="A15" s="290">
        <v>7</v>
      </c>
      <c r="B15" s="292" t="s">
        <v>472</v>
      </c>
      <c r="C15" s="293" t="s">
        <v>441</v>
      </c>
    </row>
    <row r="16" spans="1:3" ht="45.75" customHeight="1">
      <c r="A16" s="290">
        <v>7</v>
      </c>
      <c r="B16" s="292" t="s">
        <v>473</v>
      </c>
      <c r="C16" s="293" t="s">
        <v>442</v>
      </c>
    </row>
    <row r="17" spans="1:3" ht="101.25" customHeight="1">
      <c r="A17" s="290">
        <v>7</v>
      </c>
      <c r="B17" s="292" t="s">
        <v>474</v>
      </c>
      <c r="C17" s="293" t="s">
        <v>443</v>
      </c>
    </row>
    <row r="18" spans="1:3" ht="39">
      <c r="A18" s="290">
        <v>7</v>
      </c>
      <c r="B18" s="292" t="s">
        <v>475</v>
      </c>
      <c r="C18" s="293" t="s">
        <v>444</v>
      </c>
    </row>
    <row r="19" spans="1:3" ht="145.5" customHeight="1">
      <c r="A19" s="290">
        <v>7</v>
      </c>
      <c r="B19" s="292" t="s">
        <v>476</v>
      </c>
      <c r="C19" s="293" t="s">
        <v>489</v>
      </c>
    </row>
    <row r="20" spans="1:3" ht="39">
      <c r="A20" s="290">
        <v>7</v>
      </c>
      <c r="B20" s="292" t="s">
        <v>477</v>
      </c>
      <c r="C20" s="293" t="s">
        <v>358</v>
      </c>
    </row>
    <row r="21" spans="1:3" ht="39">
      <c r="A21" s="290">
        <v>7</v>
      </c>
      <c r="B21" s="292" t="s">
        <v>478</v>
      </c>
      <c r="C21" s="293" t="s">
        <v>359</v>
      </c>
    </row>
    <row r="22" spans="1:3" ht="39">
      <c r="A22" s="290">
        <v>7</v>
      </c>
      <c r="B22" s="292" t="s">
        <v>479</v>
      </c>
      <c r="C22" s="293" t="s">
        <v>360</v>
      </c>
    </row>
    <row r="23" spans="1:3" ht="39">
      <c r="A23" s="290">
        <v>7</v>
      </c>
      <c r="B23" s="296" t="s">
        <v>480</v>
      </c>
      <c r="C23" s="293" t="s">
        <v>377</v>
      </c>
    </row>
    <row r="24" spans="1:3" ht="39">
      <c r="A24" s="290">
        <v>7</v>
      </c>
      <c r="B24" s="296" t="s">
        <v>481</v>
      </c>
      <c r="C24" s="293" t="s">
        <v>361</v>
      </c>
    </row>
    <row r="25" spans="1:3" ht="44.25" customHeight="1">
      <c r="A25" s="290">
        <v>7</v>
      </c>
      <c r="B25" s="296" t="s">
        <v>497</v>
      </c>
      <c r="C25" s="293" t="s">
        <v>498</v>
      </c>
    </row>
    <row r="26" spans="1:3" ht="62.25" customHeight="1">
      <c r="A26" s="290">
        <v>7</v>
      </c>
      <c r="B26" s="292" t="s">
        <v>482</v>
      </c>
      <c r="C26" s="284" t="s">
        <v>488</v>
      </c>
    </row>
    <row r="27" spans="1:3" ht="39">
      <c r="A27" s="290">
        <v>7</v>
      </c>
      <c r="B27" s="292" t="s">
        <v>483</v>
      </c>
      <c r="C27" s="293" t="s">
        <v>378</v>
      </c>
    </row>
    <row r="28" spans="1:3" ht="47.25" customHeight="1">
      <c r="A28" s="290">
        <v>7</v>
      </c>
      <c r="B28" s="292" t="s">
        <v>484</v>
      </c>
      <c r="C28" s="293" t="s">
        <v>500</v>
      </c>
    </row>
    <row r="29" spans="1:3" ht="39">
      <c r="A29" s="290">
        <v>7</v>
      </c>
      <c r="B29" s="292" t="s">
        <v>485</v>
      </c>
      <c r="C29" s="293" t="s">
        <v>362</v>
      </c>
    </row>
    <row r="30" spans="1:3" ht="39">
      <c r="A30" s="290">
        <v>7</v>
      </c>
      <c r="B30" s="292" t="s">
        <v>486</v>
      </c>
      <c r="C30" s="293" t="s">
        <v>363</v>
      </c>
    </row>
    <row r="31" spans="1:4" s="274" customFormat="1" ht="39">
      <c r="A31" s="295">
        <v>7</v>
      </c>
      <c r="B31" s="296" t="s">
        <v>487</v>
      </c>
      <c r="C31" s="293" t="s">
        <v>381</v>
      </c>
      <c r="D31" s="297"/>
    </row>
    <row r="32" spans="1:15" s="274" customFormat="1" ht="30.75" customHeight="1">
      <c r="A32" s="295">
        <v>8</v>
      </c>
      <c r="B32" s="292" t="s">
        <v>385</v>
      </c>
      <c r="C32" s="293" t="s">
        <v>386</v>
      </c>
      <c r="D32" s="297"/>
      <c r="E32" s="278"/>
      <c r="F32" s="278"/>
      <c r="G32" s="278"/>
      <c r="H32" s="278"/>
      <c r="I32" s="278"/>
      <c r="J32" s="278"/>
      <c r="K32" s="278"/>
      <c r="L32" s="278"/>
      <c r="M32" s="278"/>
      <c r="N32" s="278"/>
      <c r="O32" s="278"/>
    </row>
    <row r="33" spans="1:3" ht="42" customHeight="1">
      <c r="A33" s="290">
        <v>8</v>
      </c>
      <c r="B33" s="292" t="s">
        <v>387</v>
      </c>
      <c r="C33" s="288" t="s">
        <v>364</v>
      </c>
    </row>
    <row r="34" spans="1:3" ht="42" customHeight="1">
      <c r="A34" s="290">
        <v>8</v>
      </c>
      <c r="B34" s="292" t="s">
        <v>448</v>
      </c>
      <c r="C34" s="288" t="s">
        <v>449</v>
      </c>
    </row>
    <row r="35" spans="1:3" ht="21.75" customHeight="1">
      <c r="A35" s="295">
        <v>8</v>
      </c>
      <c r="B35" s="292" t="s">
        <v>376</v>
      </c>
      <c r="C35" s="293" t="s">
        <v>288</v>
      </c>
    </row>
    <row r="36" spans="1:3" ht="33.75" customHeight="1">
      <c r="A36" s="290">
        <v>9</v>
      </c>
      <c r="B36" s="292" t="s">
        <v>365</v>
      </c>
      <c r="C36" s="288" t="s">
        <v>368</v>
      </c>
    </row>
    <row r="37" spans="1:3" ht="53.25" customHeight="1">
      <c r="A37" s="290">
        <v>9</v>
      </c>
      <c r="B37" s="292" t="s">
        <v>396</v>
      </c>
      <c r="C37" s="288" t="s">
        <v>446</v>
      </c>
    </row>
    <row r="38" spans="1:3" ht="30" customHeight="1">
      <c r="A38" s="290">
        <v>9</v>
      </c>
      <c r="B38" s="292" t="s">
        <v>445</v>
      </c>
      <c r="C38" s="288" t="s">
        <v>447</v>
      </c>
    </row>
    <row r="39" spans="1:3" ht="169.5" customHeight="1">
      <c r="A39" s="290">
        <v>10</v>
      </c>
      <c r="B39" s="292" t="s">
        <v>353</v>
      </c>
      <c r="C39" s="293" t="s">
        <v>425</v>
      </c>
    </row>
    <row r="40" spans="1:3" ht="30" customHeight="1">
      <c r="A40" s="290">
        <v>10</v>
      </c>
      <c r="B40" s="292" t="s">
        <v>312</v>
      </c>
      <c r="C40" s="293" t="s">
        <v>406</v>
      </c>
    </row>
    <row r="41" spans="1:3" ht="74.25" customHeight="1">
      <c r="A41" s="290">
        <v>10</v>
      </c>
      <c r="B41" s="292" t="s">
        <v>366</v>
      </c>
      <c r="C41" s="288" t="s">
        <v>369</v>
      </c>
    </row>
    <row r="42" spans="1:3" ht="69.75" customHeight="1">
      <c r="A42" s="290">
        <v>10</v>
      </c>
      <c r="B42" s="292" t="s">
        <v>346</v>
      </c>
      <c r="C42" s="284" t="s">
        <v>402</v>
      </c>
    </row>
    <row r="43" spans="1:3" ht="47.25" customHeight="1">
      <c r="A43" s="290">
        <v>10</v>
      </c>
      <c r="B43" s="292" t="s">
        <v>332</v>
      </c>
      <c r="C43" s="288" t="s">
        <v>367</v>
      </c>
    </row>
    <row r="44" spans="1:3" ht="149.25" customHeight="1">
      <c r="A44" s="290">
        <v>10</v>
      </c>
      <c r="B44" s="292" t="s">
        <v>494</v>
      </c>
      <c r="C44" s="284" t="s">
        <v>499</v>
      </c>
    </row>
    <row r="45" spans="1:3" ht="158.25">
      <c r="A45" s="290">
        <v>10</v>
      </c>
      <c r="B45" s="289" t="s">
        <v>424</v>
      </c>
      <c r="C45" s="284" t="s">
        <v>495</v>
      </c>
    </row>
    <row r="46" spans="1:3" ht="50.25" customHeight="1">
      <c r="A46" s="290">
        <v>10</v>
      </c>
      <c r="B46" s="289" t="s">
        <v>423</v>
      </c>
      <c r="C46" s="284" t="s">
        <v>429</v>
      </c>
    </row>
    <row r="47" spans="1:3" ht="78.75">
      <c r="A47" s="290">
        <v>10</v>
      </c>
      <c r="B47" s="289" t="s">
        <v>422</v>
      </c>
      <c r="C47" s="288" t="s">
        <v>432</v>
      </c>
    </row>
    <row r="48" spans="1:3" ht="12.75">
      <c r="A48" s="298"/>
      <c r="B48" s="299"/>
      <c r="C48" s="294"/>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6" location="'Page 9'!A1" display="'Page 9'!A1"/>
    <hyperlink ref="A38" location="'Page 9'!A1" display="'Page 9'!A1"/>
    <hyperlink ref="A39" location="'Page 10'!A1" display="'Page 10'!A1"/>
    <hyperlink ref="A41" location="'Page 10'!A1" display="'Page 10'!A1"/>
    <hyperlink ref="A42" location="'Page 10'!A1" display="'Page 10'!A1"/>
    <hyperlink ref="A43" location="'Page 10'!A1" display="'Page 10'!A1"/>
    <hyperlink ref="A28" location="'Page 7'!A1" display="'Page 7'!A1"/>
    <hyperlink ref="A16" location="'Page 7'!A1" display="'Page 7'!A1"/>
    <hyperlink ref="A32" location="'Page 8'!A1" display="'Page 8'!A1"/>
    <hyperlink ref="A35" location="'Page 8'!A1" display="'Page 8'!A1"/>
    <hyperlink ref="A2:B2" location="'Cover Page'!A1" display="General"/>
    <hyperlink ref="A7" location="'Cover Page'!A1" display="Cover"/>
    <hyperlink ref="A40" location="'Page 10'!A1" display="'Page 10'!A1"/>
    <hyperlink ref="A37" location="'Page 9'!A1" display="'Page 9'!A1"/>
    <hyperlink ref="A10" location="'Page 1'!A1" display="'Page 1'!A1"/>
    <hyperlink ref="A11" location="'Page 1'!A1" display="'Page 1'!A1"/>
    <hyperlink ref="A45" location="'Page 10'!A1" display="'Page 10'!A1"/>
    <hyperlink ref="A46" location="'Page 10'!A1" display="'Page 10'!A1"/>
    <hyperlink ref="A47" location="'Page 10'!A1" display="'Page 10'!A1"/>
    <hyperlink ref="A9" location="'Page 1'!A1" display="'Page 1'!A1"/>
    <hyperlink ref="A34" location="'Page 8'!A1" display="'Page 8'!A1"/>
    <hyperlink ref="A44" location="'Page 10'!A1" display="'Page 10'!A1"/>
    <hyperlink ref="A25" location="'Page 7'!A1" display="'Page 7'!A1"/>
  </hyperlinks>
  <printOptions/>
  <pageMargins left="0.7" right="0.7" top="0.75" bottom="0.75" header="0.3" footer="0.3"/>
  <pageSetup horizontalDpi="600" verticalDpi="600" orientation="landscape" r:id="rId1"/>
  <headerFooter>
    <oddFooter>&amp;LRev. 8/17&amp;CFY 2017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5">
      <selection activeCell="H21" sqref="H21"/>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70" t="s">
        <v>0</v>
      </c>
      <c r="B1" s="570"/>
      <c r="C1" s="10" t="str">
        <f>'Cover Page'!D1</f>
        <v>NORTH STAR CHARTER SCHOOL, INC.</v>
      </c>
      <c r="F1" s="2"/>
      <c r="G1" s="4" t="s">
        <v>1</v>
      </c>
      <c r="H1" s="564" t="str">
        <f>'Cover Page'!M1</f>
        <v>MARICOPA</v>
      </c>
      <c r="I1" s="564"/>
      <c r="J1" s="2"/>
      <c r="L1" s="4" t="s">
        <v>138</v>
      </c>
      <c r="M1" s="563" t="str">
        <f>'Cover Page'!R1</f>
        <v>078945000</v>
      </c>
      <c r="N1" s="564"/>
    </row>
    <row r="2" spans="6:9" ht="12.75">
      <c r="F2" s="8"/>
      <c r="G2" s="8"/>
      <c r="H2" s="2" t="s">
        <v>3</v>
      </c>
      <c r="I2" s="2"/>
    </row>
    <row r="3" spans="1:12" ht="12.75">
      <c r="A3" s="5" t="s">
        <v>68</v>
      </c>
      <c r="B3" s="5"/>
      <c r="D3" s="2"/>
      <c r="E3" s="2"/>
      <c r="F3" s="2"/>
      <c r="G3" s="2"/>
      <c r="L3" s="2"/>
    </row>
    <row r="4" spans="1:13" ht="12.75">
      <c r="A4" s="5" t="s">
        <v>5</v>
      </c>
      <c r="C4" s="2"/>
      <c r="D4" s="2"/>
      <c r="E4" s="2"/>
      <c r="F4" s="2"/>
      <c r="G4" s="2"/>
      <c r="H4" s="35" t="s">
        <v>4</v>
      </c>
      <c r="J4" s="37"/>
      <c r="K4" s="37"/>
      <c r="L4" s="37"/>
      <c r="M4" s="2"/>
    </row>
    <row r="5" spans="1:13" ht="12.75">
      <c r="A5" s="9" t="s">
        <v>6</v>
      </c>
      <c r="B5" s="572" t="s">
        <v>349</v>
      </c>
      <c r="C5" s="572"/>
      <c r="D5" s="572"/>
      <c r="E5" s="2"/>
      <c r="F5" s="2"/>
      <c r="G5" s="2"/>
      <c r="H5" s="15" t="s">
        <v>3</v>
      </c>
      <c r="I5" s="33" t="s">
        <v>6</v>
      </c>
      <c r="J5" s="37"/>
      <c r="K5" s="37"/>
      <c r="L5" s="37"/>
      <c r="M5" s="2"/>
    </row>
    <row r="6" spans="1:13" ht="12.75">
      <c r="A6" s="14" t="s">
        <v>7</v>
      </c>
      <c r="B6" s="572" t="s">
        <v>348</v>
      </c>
      <c r="C6" s="572"/>
      <c r="D6" s="572"/>
      <c r="E6" s="2"/>
      <c r="F6" s="2"/>
      <c r="G6" s="2"/>
      <c r="H6" s="15"/>
      <c r="I6" s="162" t="s">
        <v>7</v>
      </c>
      <c r="J6" s="37"/>
      <c r="K6" s="37"/>
      <c r="L6" s="37"/>
      <c r="M6" s="2"/>
    </row>
    <row r="7" spans="1:13" ht="12.75">
      <c r="A7" s="14" t="s">
        <v>8</v>
      </c>
      <c r="B7" s="566" t="s">
        <v>220</v>
      </c>
      <c r="C7" s="566"/>
      <c r="D7" s="566"/>
      <c r="E7" s="2"/>
      <c r="F7" s="2"/>
      <c r="G7" s="2"/>
      <c r="H7" s="15"/>
      <c r="I7" s="162" t="s">
        <v>8</v>
      </c>
      <c r="J7" s="36"/>
      <c r="K7" s="37"/>
      <c r="L7" s="37"/>
      <c r="M7" s="2"/>
    </row>
    <row r="8" spans="1:13" ht="12.75">
      <c r="A8" s="14" t="s">
        <v>9</v>
      </c>
      <c r="B8" s="566" t="s">
        <v>99</v>
      </c>
      <c r="C8" s="566"/>
      <c r="D8" s="566"/>
      <c r="E8" s="2"/>
      <c r="F8" s="2"/>
      <c r="G8" s="2"/>
      <c r="H8" s="15" t="s">
        <v>3</v>
      </c>
      <c r="I8" s="162" t="s">
        <v>9</v>
      </c>
      <c r="J8" s="37"/>
      <c r="K8" s="37"/>
      <c r="L8" s="37"/>
      <c r="M8" s="2"/>
    </row>
    <row r="9" spans="1:13" ht="12.75">
      <c r="A9" s="14" t="s">
        <v>10</v>
      </c>
      <c r="B9" s="566" t="s">
        <v>100</v>
      </c>
      <c r="C9" s="566"/>
      <c r="D9" s="2"/>
      <c r="E9" s="2"/>
      <c r="F9" s="2"/>
      <c r="G9" s="2"/>
      <c r="H9" s="15">
        <v>168</v>
      </c>
      <c r="I9" s="162" t="s">
        <v>10</v>
      </c>
      <c r="J9" s="38"/>
      <c r="K9" s="37"/>
      <c r="L9" s="37"/>
      <c r="M9" s="2"/>
    </row>
    <row r="10" spans="1:13" ht="12.75">
      <c r="A10" s="308" t="s">
        <v>11</v>
      </c>
      <c r="B10" s="566" t="s">
        <v>408</v>
      </c>
      <c r="C10" s="566"/>
      <c r="D10" s="2"/>
      <c r="E10" s="2"/>
      <c r="F10" s="2"/>
      <c r="G10" s="2"/>
      <c r="H10" s="48">
        <v>13747</v>
      </c>
      <c r="I10" s="33" t="s">
        <v>11</v>
      </c>
      <c r="J10" s="38"/>
      <c r="K10" s="37"/>
      <c r="L10" s="37"/>
      <c r="M10" s="2"/>
    </row>
    <row r="11" spans="1:13" ht="12.75">
      <c r="A11" s="9" t="s">
        <v>12</v>
      </c>
      <c r="B11" s="566" t="s">
        <v>253</v>
      </c>
      <c r="C11" s="566"/>
      <c r="D11" s="2"/>
      <c r="E11" s="2"/>
      <c r="F11" s="2"/>
      <c r="G11" s="2"/>
      <c r="H11" s="15"/>
      <c r="I11" s="33" t="s">
        <v>12</v>
      </c>
      <c r="J11" s="37"/>
      <c r="K11" s="37"/>
      <c r="L11" s="37"/>
      <c r="M11" s="2"/>
    </row>
    <row r="12" spans="1:13" ht="12.75">
      <c r="A12" s="305" t="s">
        <v>14</v>
      </c>
      <c r="B12" s="566" t="s">
        <v>101</v>
      </c>
      <c r="C12" s="566"/>
      <c r="D12" s="565" t="s">
        <v>509</v>
      </c>
      <c r="E12" s="565"/>
      <c r="F12" s="565"/>
      <c r="G12" s="2"/>
      <c r="H12" s="15">
        <v>2810</v>
      </c>
      <c r="I12" s="304" t="s">
        <v>14</v>
      </c>
      <c r="J12" s="37"/>
      <c r="K12" s="37"/>
      <c r="L12" s="37"/>
      <c r="M12" s="2"/>
    </row>
    <row r="13" spans="1:13" ht="12.75">
      <c r="A13" s="47" t="s">
        <v>15</v>
      </c>
      <c r="B13" s="567" t="s">
        <v>390</v>
      </c>
      <c r="C13" s="567"/>
      <c r="D13" s="2"/>
      <c r="E13" s="2"/>
      <c r="F13" s="2"/>
      <c r="G13" s="2"/>
      <c r="H13" s="41">
        <f>SUM(H5:H12)</f>
        <v>16725</v>
      </c>
      <c r="I13" s="56" t="s">
        <v>15</v>
      </c>
      <c r="J13" s="37"/>
      <c r="K13" s="37"/>
      <c r="L13" s="37"/>
      <c r="M13" s="2"/>
    </row>
    <row r="14" spans="1:13" ht="12.75">
      <c r="A14" s="5" t="s">
        <v>13</v>
      </c>
      <c r="B14" s="5"/>
      <c r="D14" s="2"/>
      <c r="E14" s="2"/>
      <c r="F14" s="2"/>
      <c r="G14" s="2"/>
      <c r="H14" s="2"/>
      <c r="I14" s="33" t="s">
        <v>3</v>
      </c>
      <c r="J14" s="37"/>
      <c r="K14" s="37"/>
      <c r="L14" s="37"/>
      <c r="M14" s="2"/>
    </row>
    <row r="15" spans="1:13" ht="12.75">
      <c r="A15" s="47" t="s">
        <v>16</v>
      </c>
      <c r="B15" s="566" t="s">
        <v>211</v>
      </c>
      <c r="C15" s="566"/>
      <c r="D15" s="2"/>
      <c r="E15" s="2"/>
      <c r="F15" s="2"/>
      <c r="G15" s="2"/>
      <c r="H15" s="15"/>
      <c r="I15" s="56" t="s">
        <v>16</v>
      </c>
      <c r="J15" s="37"/>
      <c r="K15" s="37"/>
      <c r="L15" s="37"/>
      <c r="M15" s="2"/>
    </row>
    <row r="16" spans="1:13" ht="12.75">
      <c r="A16" s="47" t="s">
        <v>17</v>
      </c>
      <c r="B16" s="566" t="s">
        <v>212</v>
      </c>
      <c r="C16" s="566"/>
      <c r="D16" s="2"/>
      <c r="E16" s="2"/>
      <c r="F16" s="2"/>
      <c r="G16" s="2"/>
      <c r="H16" s="15"/>
      <c r="I16" s="56" t="s">
        <v>17</v>
      </c>
      <c r="J16" s="37"/>
      <c r="K16" s="37"/>
      <c r="L16" s="37"/>
      <c r="M16" s="2"/>
    </row>
    <row r="17" spans="1:13" ht="12.75">
      <c r="A17" s="47" t="s">
        <v>18</v>
      </c>
      <c r="B17" s="566" t="s">
        <v>102</v>
      </c>
      <c r="C17" s="566"/>
      <c r="D17" s="565"/>
      <c r="E17" s="565"/>
      <c r="F17" s="565"/>
      <c r="G17" s="2"/>
      <c r="H17" s="15"/>
      <c r="I17" s="56" t="s">
        <v>18</v>
      </c>
      <c r="J17" s="36"/>
      <c r="K17" s="36"/>
      <c r="L17" s="36"/>
      <c r="M17" s="11"/>
    </row>
    <row r="18" spans="1:13" ht="12.75">
      <c r="A18" s="47" t="s">
        <v>20</v>
      </c>
      <c r="B18" s="566" t="s">
        <v>391</v>
      </c>
      <c r="C18" s="566"/>
      <c r="D18" s="2"/>
      <c r="E18" s="2"/>
      <c r="F18" s="2"/>
      <c r="G18" s="2"/>
      <c r="H18" s="21">
        <f>SUM(H15:H17)</f>
        <v>0</v>
      </c>
      <c r="I18" s="56" t="s">
        <v>20</v>
      </c>
      <c r="J18" s="37"/>
      <c r="K18" s="37"/>
      <c r="L18" s="37"/>
      <c r="M18" s="2"/>
    </row>
    <row r="19" spans="1:13" ht="12.75">
      <c r="A19" s="5" t="s">
        <v>19</v>
      </c>
      <c r="B19" s="5"/>
      <c r="D19" s="2"/>
      <c r="E19" s="2"/>
      <c r="F19" s="2"/>
      <c r="G19" s="2"/>
      <c r="H19" s="2"/>
      <c r="I19" s="33"/>
      <c r="J19" s="37"/>
      <c r="K19" s="37"/>
      <c r="L19" s="37"/>
      <c r="M19" s="2"/>
    </row>
    <row r="20" spans="1:13" ht="12.75">
      <c r="A20" s="47" t="s">
        <v>21</v>
      </c>
      <c r="B20" s="566" t="s">
        <v>103</v>
      </c>
      <c r="C20" s="566"/>
      <c r="D20" s="2"/>
      <c r="E20" s="2"/>
      <c r="F20" s="2"/>
      <c r="G20" s="2"/>
      <c r="H20" s="15">
        <v>1285686</v>
      </c>
      <c r="I20" s="56" t="s">
        <v>21</v>
      </c>
      <c r="J20" s="37"/>
      <c r="K20" s="37"/>
      <c r="L20" s="37"/>
      <c r="M20" s="2"/>
    </row>
    <row r="21" spans="1:13" ht="12.75">
      <c r="A21" s="305" t="s">
        <v>22</v>
      </c>
      <c r="B21" s="566" t="s">
        <v>214</v>
      </c>
      <c r="C21" s="566"/>
      <c r="D21" s="2"/>
      <c r="E21" s="2"/>
      <c r="F21" s="2"/>
      <c r="G21" s="2"/>
      <c r="H21" s="15">
        <v>95298</v>
      </c>
      <c r="I21" s="304" t="s">
        <v>22</v>
      </c>
      <c r="J21" s="37"/>
      <c r="K21" s="37"/>
      <c r="L21" s="37"/>
      <c r="M21" s="2"/>
    </row>
    <row r="22" spans="1:13" ht="12.75">
      <c r="A22" s="276" t="s">
        <v>23</v>
      </c>
      <c r="B22" s="568" t="s">
        <v>215</v>
      </c>
      <c r="C22" s="568"/>
      <c r="D22" s="2"/>
      <c r="E22" s="2"/>
      <c r="F22" s="2"/>
      <c r="G22" s="2"/>
      <c r="H22" s="15" t="s">
        <v>3</v>
      </c>
      <c r="I22" s="304" t="s">
        <v>23</v>
      </c>
      <c r="J22" s="36"/>
      <c r="K22" s="36"/>
      <c r="L22" s="36"/>
      <c r="M22" s="11"/>
    </row>
    <row r="23" spans="1:13" ht="12.75">
      <c r="A23" s="305" t="s">
        <v>24</v>
      </c>
      <c r="B23" s="568" t="s">
        <v>213</v>
      </c>
      <c r="C23" s="568"/>
      <c r="D23" s="160"/>
      <c r="E23" s="160"/>
      <c r="F23" s="160"/>
      <c r="G23" s="160"/>
      <c r="H23" s="48" t="s">
        <v>3</v>
      </c>
      <c r="I23" s="304" t="s">
        <v>24</v>
      </c>
      <c r="J23" s="37"/>
      <c r="K23" s="37"/>
      <c r="L23" s="37"/>
      <c r="M23" s="2"/>
    </row>
    <row r="24" spans="1:13" ht="12.75">
      <c r="A24" s="305" t="s">
        <v>26</v>
      </c>
      <c r="B24" s="568" t="s">
        <v>104</v>
      </c>
      <c r="C24" s="568"/>
      <c r="D24" s="571"/>
      <c r="E24" s="571"/>
      <c r="F24" s="571"/>
      <c r="G24" s="160"/>
      <c r="H24" s="48"/>
      <c r="I24" s="304" t="s">
        <v>26</v>
      </c>
      <c r="J24" s="37"/>
      <c r="K24" s="37"/>
      <c r="L24" s="37"/>
      <c r="M24" s="2"/>
    </row>
    <row r="25" spans="1:13" ht="12.75">
      <c r="A25" s="305" t="s">
        <v>27</v>
      </c>
      <c r="B25" s="568" t="s">
        <v>392</v>
      </c>
      <c r="C25" s="568"/>
      <c r="D25" s="160"/>
      <c r="E25" s="160"/>
      <c r="F25" s="160"/>
      <c r="G25" s="160"/>
      <c r="H25" s="57">
        <f>SUM(H20:H24)</f>
        <v>1380984</v>
      </c>
      <c r="I25" s="304" t="s">
        <v>27</v>
      </c>
      <c r="J25" s="37"/>
      <c r="K25" s="37"/>
      <c r="L25" s="37"/>
      <c r="M25" s="2"/>
    </row>
    <row r="26" spans="1:13" ht="12.75">
      <c r="A26" s="163" t="s">
        <v>25</v>
      </c>
      <c r="B26" s="161"/>
      <c r="C26" s="45"/>
      <c r="D26" s="160"/>
      <c r="E26" s="160"/>
      <c r="F26" s="160"/>
      <c r="G26" s="160"/>
      <c r="H26" s="160"/>
      <c r="I26" s="33"/>
      <c r="J26" s="37"/>
      <c r="K26" s="37"/>
      <c r="L26" s="37"/>
      <c r="M26" s="2"/>
    </row>
    <row r="27" spans="1:13" ht="12.75">
      <c r="A27" s="276" t="s">
        <v>28</v>
      </c>
      <c r="B27" s="568" t="s">
        <v>216</v>
      </c>
      <c r="C27" s="568"/>
      <c r="D27" s="568"/>
      <c r="E27" s="568"/>
      <c r="F27" s="568"/>
      <c r="G27" s="160"/>
      <c r="H27" s="48"/>
      <c r="I27" s="178" t="s">
        <v>28</v>
      </c>
      <c r="J27" s="37"/>
      <c r="K27" s="37"/>
      <c r="L27" s="37"/>
      <c r="M27" s="2"/>
    </row>
    <row r="28" spans="1:13" ht="12.75">
      <c r="A28" s="174" t="s">
        <v>29</v>
      </c>
      <c r="B28" s="568" t="s">
        <v>217</v>
      </c>
      <c r="C28" s="568"/>
      <c r="D28" s="568"/>
      <c r="E28" s="568"/>
      <c r="F28" s="568"/>
      <c r="G28" s="160"/>
      <c r="H28" s="48">
        <v>61678</v>
      </c>
      <c r="I28" s="178" t="s">
        <v>29</v>
      </c>
      <c r="J28" s="36"/>
      <c r="K28" s="36"/>
      <c r="L28" s="37"/>
      <c r="M28" s="2"/>
    </row>
    <row r="29" spans="1:13" ht="12.75">
      <c r="A29" s="47" t="s">
        <v>30</v>
      </c>
      <c r="B29" s="568" t="s">
        <v>283</v>
      </c>
      <c r="C29" s="568"/>
      <c r="D29" s="568"/>
      <c r="E29" s="568"/>
      <c r="F29" s="568"/>
      <c r="G29" s="569"/>
      <c r="H29" s="48"/>
      <c r="I29" s="56" t="s">
        <v>30</v>
      </c>
      <c r="J29" s="36"/>
      <c r="K29" s="36"/>
      <c r="L29" s="37"/>
      <c r="M29" s="2"/>
    </row>
    <row r="30" spans="1:13" ht="12.75">
      <c r="A30" s="47" t="s">
        <v>31</v>
      </c>
      <c r="B30" s="187" t="s">
        <v>254</v>
      </c>
      <c r="C30" s="160"/>
      <c r="D30" s="160"/>
      <c r="E30" s="160"/>
      <c r="F30" s="160"/>
      <c r="G30" s="160"/>
      <c r="H30" s="48"/>
      <c r="I30" s="56" t="s">
        <v>31</v>
      </c>
      <c r="J30" s="37"/>
      <c r="K30" s="37"/>
      <c r="L30" s="37"/>
      <c r="M30" s="2"/>
    </row>
    <row r="31" spans="1:13" ht="12.75">
      <c r="A31" s="47" t="s">
        <v>32</v>
      </c>
      <c r="B31" s="568" t="s">
        <v>105</v>
      </c>
      <c r="C31" s="568"/>
      <c r="D31" s="568"/>
      <c r="E31" s="568"/>
      <c r="F31" s="568"/>
      <c r="G31" s="569"/>
      <c r="H31" s="48"/>
      <c r="I31" s="56" t="s">
        <v>32</v>
      </c>
      <c r="J31" s="37"/>
      <c r="K31" s="37"/>
      <c r="L31" s="37"/>
      <c r="M31" s="2"/>
    </row>
    <row r="32" spans="1:13" ht="12.75">
      <c r="A32" s="47" t="s">
        <v>77</v>
      </c>
      <c r="B32" s="566" t="s">
        <v>106</v>
      </c>
      <c r="C32" s="566"/>
      <c r="D32" s="565"/>
      <c r="E32" s="565"/>
      <c r="F32" s="565"/>
      <c r="G32" s="2"/>
      <c r="H32" s="15"/>
      <c r="I32" s="56" t="s">
        <v>77</v>
      </c>
      <c r="J32" s="37"/>
      <c r="K32" s="37"/>
      <c r="L32" s="37"/>
      <c r="M32" s="2"/>
    </row>
    <row r="33" spans="1:13" ht="12.75">
      <c r="A33" s="47" t="s">
        <v>78</v>
      </c>
      <c r="B33" s="566" t="s">
        <v>393</v>
      </c>
      <c r="C33" s="566"/>
      <c r="D33" s="2"/>
      <c r="E33" s="2"/>
      <c r="F33" s="2"/>
      <c r="G33" s="2"/>
      <c r="H33" s="21">
        <f>SUM(H27:H32)</f>
        <v>61678</v>
      </c>
      <c r="I33" s="56" t="s">
        <v>78</v>
      </c>
      <c r="J33" s="37"/>
      <c r="K33" s="37"/>
      <c r="L33" s="37"/>
      <c r="M33" s="2"/>
    </row>
    <row r="34" spans="1:13" ht="12.75">
      <c r="A34" s="14"/>
      <c r="B34" s="5"/>
      <c r="C34" s="2"/>
      <c r="D34" s="2"/>
      <c r="E34" s="2"/>
      <c r="F34" s="2"/>
      <c r="G34" s="2"/>
      <c r="H34" s="40"/>
      <c r="I34" s="33"/>
      <c r="J34" s="37"/>
      <c r="K34" s="37"/>
      <c r="L34" s="37"/>
      <c r="M34" s="2"/>
    </row>
    <row r="35" spans="1:13" ht="12.75">
      <c r="A35" s="47" t="s">
        <v>79</v>
      </c>
      <c r="B35" s="567" t="s">
        <v>389</v>
      </c>
      <c r="C35" s="567"/>
      <c r="D35" s="567"/>
      <c r="E35" s="2"/>
      <c r="F35" s="2"/>
      <c r="G35" s="2"/>
      <c r="H35" s="21">
        <f>SUM(H13,H18,H25,H33)</f>
        <v>1459387</v>
      </c>
      <c r="I35" s="56" t="s">
        <v>79</v>
      </c>
      <c r="J35" s="37"/>
      <c r="K35" s="37"/>
      <c r="L35" s="37"/>
      <c r="M35" s="2"/>
    </row>
    <row r="36" spans="9:12" ht="12.75">
      <c r="I36" s="39"/>
      <c r="J36" s="37"/>
      <c r="K36" s="37"/>
      <c r="L36" s="37"/>
    </row>
    <row r="37" spans="9:12" ht="12.75">
      <c r="I37" s="39"/>
      <c r="J37" s="37"/>
      <c r="K37" s="37"/>
      <c r="L37" s="37"/>
    </row>
    <row r="38" spans="9:12" ht="12.75">
      <c r="I38" s="39"/>
      <c r="J38" s="37"/>
      <c r="K38" s="37"/>
      <c r="L38" s="37"/>
    </row>
    <row r="39" spans="9:12" ht="12.75">
      <c r="I39" s="39"/>
      <c r="J39" s="37"/>
      <c r="K39" s="37"/>
      <c r="L39" s="37"/>
    </row>
    <row r="40" spans="9:12" ht="12.75">
      <c r="I40" s="39"/>
      <c r="J40" s="37"/>
      <c r="K40" s="37"/>
      <c r="L40" s="37"/>
    </row>
    <row r="41" spans="9:12" ht="12.75">
      <c r="I41" s="39"/>
      <c r="J41" s="37"/>
      <c r="K41" s="37"/>
      <c r="L41" s="37"/>
    </row>
    <row r="42" spans="9:12" ht="12.75">
      <c r="I42" s="39"/>
      <c r="J42" s="37"/>
      <c r="K42" s="37"/>
      <c r="L42" s="37"/>
    </row>
    <row r="43" spans="9:12" ht="12.75">
      <c r="I43" s="39"/>
      <c r="J43" s="37"/>
      <c r="K43" s="37"/>
      <c r="L43" s="37"/>
    </row>
    <row r="44" spans="9:12" ht="12.75">
      <c r="I44" s="39"/>
      <c r="J44" s="37"/>
      <c r="K44" s="37"/>
      <c r="L44" s="37"/>
    </row>
    <row r="45" spans="9:12" ht="12.75">
      <c r="I45" s="39"/>
      <c r="J45" s="37"/>
      <c r="K45" s="37"/>
      <c r="L45" s="37"/>
    </row>
  </sheetData>
  <sheetProtection sheet="1" formatCells="0" formatColumns="0" formatRows="0"/>
  <mergeCells count="33">
    <mergeCell ref="B5:D5"/>
    <mergeCell ref="B6:D6"/>
    <mergeCell ref="B11:C11"/>
    <mergeCell ref="B25:C25"/>
    <mergeCell ref="B27:F27"/>
    <mergeCell ref="B15:C15"/>
    <mergeCell ref="B24:C24"/>
    <mergeCell ref="B28:F28"/>
    <mergeCell ref="B23:C23"/>
    <mergeCell ref="A1:B1"/>
    <mergeCell ref="B17:C17"/>
    <mergeCell ref="D24:F24"/>
    <mergeCell ref="B18:C18"/>
    <mergeCell ref="B20:C20"/>
    <mergeCell ref="B12:C12"/>
    <mergeCell ref="B13:C13"/>
    <mergeCell ref="B22:C22"/>
    <mergeCell ref="B35:D35"/>
    <mergeCell ref="B29:G29"/>
    <mergeCell ref="B31:G31"/>
    <mergeCell ref="B32:C32"/>
    <mergeCell ref="B33:C33"/>
    <mergeCell ref="D32:F32"/>
    <mergeCell ref="M1:N1"/>
    <mergeCell ref="D12:F12"/>
    <mergeCell ref="B7:D7"/>
    <mergeCell ref="D17:F17"/>
    <mergeCell ref="B16:C16"/>
    <mergeCell ref="B21:C21"/>
    <mergeCell ref="H1:I1"/>
    <mergeCell ref="B8:D8"/>
    <mergeCell ref="B9:C9"/>
    <mergeCell ref="B10:C10"/>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fitToHeight="1" fitToWidth="1" horizontalDpi="300" verticalDpi="300" orientation="landscape" scale="82" r:id="rId2"/>
  <headerFooter>
    <oddFooter>&amp;LRev. 8/17&amp;CFY 2017&amp;RPage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1">
      <selection activeCell="G1" sqref="G1"/>
    </sheetView>
  </sheetViews>
  <sheetFormatPr defaultColWidth="9.33203125" defaultRowHeight="12.75" customHeight="1"/>
  <cols>
    <col min="1" max="1" width="20.83203125" style="424" customWidth="1"/>
    <col min="2" max="2" width="32.33203125" style="424" customWidth="1"/>
    <col min="3" max="3" width="3.83203125" style="424" customWidth="1"/>
    <col min="4" max="5" width="12.83203125" style="424" customWidth="1"/>
    <col min="6" max="6" width="14.83203125" style="424" customWidth="1"/>
    <col min="7" max="12" width="12.83203125" style="424" customWidth="1"/>
    <col min="13" max="13" width="3.16015625" style="424" customWidth="1"/>
    <col min="14" max="16384" width="9.33203125" style="424" customWidth="1"/>
  </cols>
  <sheetData>
    <row r="1" spans="1:12" ht="12" customHeight="1">
      <c r="A1" s="421" t="s">
        <v>0</v>
      </c>
      <c r="B1" s="579" t="str">
        <f>'Cover Page'!D1</f>
        <v>NORTH STAR CHARTER SCHOOL, INC.</v>
      </c>
      <c r="C1" s="579"/>
      <c r="D1" s="423"/>
      <c r="F1" s="425" t="s">
        <v>1</v>
      </c>
      <c r="G1" s="422" t="s">
        <v>502</v>
      </c>
      <c r="J1" s="425"/>
      <c r="K1" s="425" t="s">
        <v>138</v>
      </c>
      <c r="L1" s="426" t="str">
        <f>'Cover Page'!R1</f>
        <v>078945000</v>
      </c>
    </row>
    <row r="2" spans="5:12" ht="3.75" customHeight="1">
      <c r="E2" s="423"/>
      <c r="F2" s="423"/>
      <c r="L2" s="427"/>
    </row>
    <row r="3" spans="1:12" ht="15.75" customHeight="1">
      <c r="A3" s="428"/>
      <c r="B3" s="429"/>
      <c r="C3" s="430"/>
      <c r="D3" s="428"/>
      <c r="E3" s="431" t="s">
        <v>218</v>
      </c>
      <c r="F3" s="432" t="s">
        <v>198</v>
      </c>
      <c r="G3" s="433"/>
      <c r="H3" s="434"/>
      <c r="I3" s="583" t="s">
        <v>143</v>
      </c>
      <c r="J3" s="583"/>
      <c r="K3" s="583"/>
      <c r="L3" s="580" t="s">
        <v>262</v>
      </c>
    </row>
    <row r="4" spans="1:12" ht="12" customHeight="1">
      <c r="A4" s="435" t="s">
        <v>113</v>
      </c>
      <c r="B4" s="423"/>
      <c r="C4" s="436"/>
      <c r="D4" s="437" t="s">
        <v>144</v>
      </c>
      <c r="E4" s="438" t="s">
        <v>145</v>
      </c>
      <c r="F4" s="439" t="s">
        <v>189</v>
      </c>
      <c r="G4" s="440" t="s">
        <v>159</v>
      </c>
      <c r="H4" s="437" t="s">
        <v>200</v>
      </c>
      <c r="I4" s="428"/>
      <c r="J4" s="428"/>
      <c r="K4" s="432" t="s">
        <v>281</v>
      </c>
      <c r="L4" s="581"/>
    </row>
    <row r="5" spans="1:12" ht="11.25" customHeight="1">
      <c r="A5" s="441" t="s">
        <v>123</v>
      </c>
      <c r="B5" s="442"/>
      <c r="C5" s="443"/>
      <c r="D5" s="444">
        <v>6100</v>
      </c>
      <c r="E5" s="445">
        <v>6200</v>
      </c>
      <c r="F5" s="445" t="s">
        <v>34</v>
      </c>
      <c r="G5" s="446">
        <v>6600</v>
      </c>
      <c r="H5" s="444">
        <v>6800</v>
      </c>
      <c r="I5" s="447" t="s">
        <v>162</v>
      </c>
      <c r="J5" s="437" t="s">
        <v>163</v>
      </c>
      <c r="K5" s="439" t="s">
        <v>163</v>
      </c>
      <c r="L5" s="582"/>
    </row>
    <row r="6" spans="1:12" ht="12" customHeight="1">
      <c r="A6" s="448" t="s">
        <v>36</v>
      </c>
      <c r="B6" s="429"/>
      <c r="C6" s="430"/>
      <c r="D6" s="449" t="s">
        <v>3</v>
      </c>
      <c r="E6" s="449"/>
      <c r="F6" s="449"/>
      <c r="G6" s="449"/>
      <c r="H6" s="449"/>
      <c r="I6" s="575">
        <v>508650</v>
      </c>
      <c r="J6" s="573">
        <f>SUM(D7:H7)</f>
        <v>577323</v>
      </c>
      <c r="K6" s="573">
        <v>489084</v>
      </c>
      <c r="L6" s="586">
        <f>IF(J6=K6,0,IF(K6&gt;0,(J6-K6)/K6,"--"))</f>
        <v>0.1804</v>
      </c>
    </row>
    <row r="7" spans="1:13" ht="12" customHeight="1">
      <c r="A7" s="450" t="s">
        <v>37</v>
      </c>
      <c r="B7" s="423"/>
      <c r="C7" s="451" t="s">
        <v>6</v>
      </c>
      <c r="D7" s="452">
        <v>164856</v>
      </c>
      <c r="E7" s="453">
        <v>47754</v>
      </c>
      <c r="F7" s="453">
        <v>328545</v>
      </c>
      <c r="G7" s="453">
        <v>33956</v>
      </c>
      <c r="H7" s="454">
        <v>2212</v>
      </c>
      <c r="I7" s="576"/>
      <c r="J7" s="574"/>
      <c r="K7" s="574"/>
      <c r="L7" s="587"/>
      <c r="M7" s="456" t="s">
        <v>6</v>
      </c>
    </row>
    <row r="8" spans="1:13" ht="12" customHeight="1">
      <c r="A8" s="450" t="s">
        <v>258</v>
      </c>
      <c r="B8" s="423"/>
      <c r="C8" s="436"/>
      <c r="D8" s="449"/>
      <c r="E8" s="449"/>
      <c r="F8" s="449"/>
      <c r="G8" s="457"/>
      <c r="H8" s="449"/>
      <c r="I8" s="577">
        <f>[2]!SP1000P100F2100</f>
        <v>0</v>
      </c>
      <c r="J8" s="573">
        <f>SUM(D9:H9)</f>
        <v>0</v>
      </c>
      <c r="K8" s="588">
        <f>[1]!SP1000P100F2100</f>
        <v>0</v>
      </c>
      <c r="L8" s="584">
        <f>IF(J8=K8,0,IF(K8&gt;0,(J8-K8)/K8,"--"))</f>
        <v>0</v>
      </c>
      <c r="M8" s="458"/>
    </row>
    <row r="9" spans="1:13" ht="12" customHeight="1">
      <c r="A9" s="450" t="s">
        <v>236</v>
      </c>
      <c r="B9" s="423"/>
      <c r="C9" s="451" t="s">
        <v>7</v>
      </c>
      <c r="D9" s="453"/>
      <c r="E9" s="453"/>
      <c r="F9" s="453"/>
      <c r="G9" s="459"/>
      <c r="H9" s="453"/>
      <c r="I9" s="578"/>
      <c r="J9" s="574"/>
      <c r="K9" s="589"/>
      <c r="L9" s="585"/>
      <c r="M9" s="456" t="s">
        <v>7</v>
      </c>
    </row>
    <row r="10" spans="1:13" ht="12" customHeight="1">
      <c r="A10" s="450" t="s">
        <v>237</v>
      </c>
      <c r="B10" s="423"/>
      <c r="C10" s="451" t="s">
        <v>8</v>
      </c>
      <c r="D10" s="460"/>
      <c r="E10" s="461"/>
      <c r="F10" s="460"/>
      <c r="G10" s="461"/>
      <c r="H10" s="453"/>
      <c r="I10" s="455">
        <f>[2]!SP1000P100F2200</f>
        <v>0</v>
      </c>
      <c r="J10" s="455">
        <f aca="true" t="shared" si="0" ref="J10:J21">SUM(D10:H10)</f>
        <v>0</v>
      </c>
      <c r="K10" s="455">
        <f>[1]!SP1000P100F2200</f>
        <v>0</v>
      </c>
      <c r="L10" s="462">
        <f aca="true" t="shared" si="1" ref="L10:L16">IF(J10=K10,0,IF(K10&gt;0,(J10-K10)/K10,"--"))</f>
        <v>0</v>
      </c>
      <c r="M10" s="456" t="s">
        <v>8</v>
      </c>
    </row>
    <row r="11" spans="1:13" ht="12" customHeight="1">
      <c r="A11" s="450" t="s">
        <v>38</v>
      </c>
      <c r="B11" s="423"/>
      <c r="C11" s="451" t="s">
        <v>9</v>
      </c>
      <c r="D11" s="460">
        <v>60080</v>
      </c>
      <c r="E11" s="461">
        <v>18367</v>
      </c>
      <c r="F11" s="460">
        <v>243497</v>
      </c>
      <c r="G11" s="461">
        <v>18008</v>
      </c>
      <c r="H11" s="460" t="s">
        <v>3</v>
      </c>
      <c r="I11" s="455">
        <v>147286</v>
      </c>
      <c r="J11" s="455">
        <f t="shared" si="0"/>
        <v>339952</v>
      </c>
      <c r="K11" s="455">
        <v>422101</v>
      </c>
      <c r="L11" s="462">
        <f t="shared" si="1"/>
        <v>-0.1946</v>
      </c>
      <c r="M11" s="456" t="s">
        <v>9</v>
      </c>
    </row>
    <row r="12" spans="1:13" ht="12" customHeight="1">
      <c r="A12" s="450" t="s">
        <v>39</v>
      </c>
      <c r="B12" s="423"/>
      <c r="C12" s="451" t="s">
        <v>10</v>
      </c>
      <c r="D12" s="460">
        <v>195400</v>
      </c>
      <c r="E12" s="461">
        <v>56325</v>
      </c>
      <c r="F12" s="460" t="s">
        <v>3</v>
      </c>
      <c r="G12" s="461">
        <v>10504</v>
      </c>
      <c r="H12" s="460"/>
      <c r="I12" s="455">
        <v>351667</v>
      </c>
      <c r="J12" s="455">
        <f t="shared" si="0"/>
        <v>262229</v>
      </c>
      <c r="K12" s="455">
        <v>155521</v>
      </c>
      <c r="L12" s="462">
        <f t="shared" si="1"/>
        <v>0.6861</v>
      </c>
      <c r="M12" s="456" t="s">
        <v>10</v>
      </c>
    </row>
    <row r="13" spans="1:13" ht="12" customHeight="1">
      <c r="A13" s="450" t="s">
        <v>238</v>
      </c>
      <c r="B13" s="423"/>
      <c r="C13" s="451" t="s">
        <v>11</v>
      </c>
      <c r="D13" s="460"/>
      <c r="E13" s="461"/>
      <c r="F13" s="460"/>
      <c r="G13" s="461"/>
      <c r="H13" s="460">
        <v>26840</v>
      </c>
      <c r="I13" s="455">
        <f>[2]!SP1000P100F2500</f>
        <v>0</v>
      </c>
      <c r="J13" s="455">
        <f t="shared" si="0"/>
        <v>26840</v>
      </c>
      <c r="K13" s="455">
        <v>46576</v>
      </c>
      <c r="L13" s="462">
        <f t="shared" si="1"/>
        <v>-0.4237</v>
      </c>
      <c r="M13" s="456" t="s">
        <v>11</v>
      </c>
    </row>
    <row r="14" spans="1:13" ht="12" customHeight="1">
      <c r="A14" s="450" t="s">
        <v>300</v>
      </c>
      <c r="B14" s="423"/>
      <c r="C14" s="451" t="s">
        <v>12</v>
      </c>
      <c r="D14" s="460"/>
      <c r="E14" s="461"/>
      <c r="F14" s="460">
        <v>28373</v>
      </c>
      <c r="G14" s="461"/>
      <c r="H14" s="460"/>
      <c r="I14" s="455">
        <v>36800</v>
      </c>
      <c r="J14" s="455">
        <f t="shared" si="0"/>
        <v>28373</v>
      </c>
      <c r="K14" s="455">
        <v>81444</v>
      </c>
      <c r="L14" s="462">
        <f t="shared" si="1"/>
        <v>-0.6516</v>
      </c>
      <c r="M14" s="456" t="s">
        <v>12</v>
      </c>
    </row>
    <row r="15" spans="1:13" ht="12" customHeight="1">
      <c r="A15" s="450" t="s">
        <v>124</v>
      </c>
      <c r="B15" s="423"/>
      <c r="C15" s="451" t="s">
        <v>14</v>
      </c>
      <c r="D15" s="460"/>
      <c r="E15" s="461"/>
      <c r="F15" s="460"/>
      <c r="G15" s="461"/>
      <c r="H15" s="460"/>
      <c r="I15" s="455">
        <f>[2]!SP1000P100F2900</f>
        <v>0</v>
      </c>
      <c r="J15" s="455">
        <f t="shared" si="0"/>
        <v>0</v>
      </c>
      <c r="K15" s="455">
        <f>[1]!SP1000P100F2900</f>
        <v>0</v>
      </c>
      <c r="L15" s="462">
        <f t="shared" si="1"/>
        <v>0</v>
      </c>
      <c r="M15" s="456" t="s">
        <v>14</v>
      </c>
    </row>
    <row r="16" spans="1:13" ht="12" customHeight="1">
      <c r="A16" s="450" t="s">
        <v>40</v>
      </c>
      <c r="B16" s="423"/>
      <c r="C16" s="451" t="s">
        <v>15</v>
      </c>
      <c r="D16" s="460"/>
      <c r="E16" s="461"/>
      <c r="F16" s="460"/>
      <c r="G16" s="461"/>
      <c r="H16" s="460"/>
      <c r="I16" s="455">
        <v>60000</v>
      </c>
      <c r="J16" s="455">
        <f t="shared" si="0"/>
        <v>0</v>
      </c>
      <c r="K16" s="455">
        <f>[1]!SP1000P100F3000</f>
        <v>0</v>
      </c>
      <c r="L16" s="462">
        <f t="shared" si="1"/>
        <v>0</v>
      </c>
      <c r="M16" s="456" t="s">
        <v>15</v>
      </c>
    </row>
    <row r="17" spans="1:13" ht="12" customHeight="1">
      <c r="A17" s="450" t="s">
        <v>301</v>
      </c>
      <c r="B17" s="423"/>
      <c r="C17" s="451" t="s">
        <v>16</v>
      </c>
      <c r="D17" s="460"/>
      <c r="E17" s="461"/>
      <c r="F17" s="460"/>
      <c r="G17" s="461"/>
      <c r="H17" s="460"/>
      <c r="I17" s="455">
        <f>[2]!SP1000P100F4000</f>
        <v>0</v>
      </c>
      <c r="J17" s="455">
        <f t="shared" si="0"/>
        <v>0</v>
      </c>
      <c r="K17" s="455">
        <f>[1]!SP1000P100F4000</f>
        <v>0</v>
      </c>
      <c r="L17" s="462">
        <f aca="true" t="shared" si="2" ref="L17:L22">IF(J17=K17,0,IF(K17&gt;0,(J17-K17)/K17,"--"))</f>
        <v>0</v>
      </c>
      <c r="M17" s="456" t="s">
        <v>16</v>
      </c>
    </row>
    <row r="18" spans="1:13" ht="12" customHeight="1">
      <c r="A18" s="450" t="s">
        <v>41</v>
      </c>
      <c r="B18" s="423"/>
      <c r="C18" s="451" t="s">
        <v>17</v>
      </c>
      <c r="D18" s="463"/>
      <c r="E18" s="461"/>
      <c r="F18" s="460"/>
      <c r="G18" s="461"/>
      <c r="H18" s="460">
        <v>284119</v>
      </c>
      <c r="I18" s="455">
        <v>332388</v>
      </c>
      <c r="J18" s="455">
        <v>284119</v>
      </c>
      <c r="K18" s="455">
        <v>239529</v>
      </c>
      <c r="L18" s="462">
        <f t="shared" si="2"/>
        <v>0.1862</v>
      </c>
      <c r="M18" s="456" t="s">
        <v>17</v>
      </c>
    </row>
    <row r="19" spans="1:13" ht="12" customHeight="1">
      <c r="A19" s="450" t="s">
        <v>130</v>
      </c>
      <c r="B19" s="423"/>
      <c r="C19" s="451" t="s">
        <v>18</v>
      </c>
      <c r="D19" s="463"/>
      <c r="E19" s="461"/>
      <c r="F19" s="460"/>
      <c r="G19" s="461"/>
      <c r="H19" s="460"/>
      <c r="I19" s="455">
        <f>[2]!SP1000P610</f>
        <v>0</v>
      </c>
      <c r="J19" s="455">
        <f t="shared" si="0"/>
        <v>0</v>
      </c>
      <c r="K19" s="455">
        <f>[1]!SP1000P610</f>
        <v>0</v>
      </c>
      <c r="L19" s="462">
        <f t="shared" si="2"/>
        <v>0</v>
      </c>
      <c r="M19" s="456" t="s">
        <v>18</v>
      </c>
    </row>
    <row r="20" spans="1:13" ht="12" customHeight="1">
      <c r="A20" s="450" t="s">
        <v>131</v>
      </c>
      <c r="B20" s="423"/>
      <c r="C20" s="451" t="s">
        <v>20</v>
      </c>
      <c r="D20" s="463"/>
      <c r="E20" s="461"/>
      <c r="F20" s="460"/>
      <c r="G20" s="461"/>
      <c r="H20" s="460"/>
      <c r="I20" s="455">
        <f>[2]!SP1000P620</f>
        <v>0</v>
      </c>
      <c r="J20" s="455">
        <f t="shared" si="0"/>
        <v>0</v>
      </c>
      <c r="K20" s="455">
        <f>[1]!SP1000P620</f>
        <v>0</v>
      </c>
      <c r="L20" s="462">
        <f t="shared" si="2"/>
        <v>0</v>
      </c>
      <c r="M20" s="456" t="s">
        <v>20</v>
      </c>
    </row>
    <row r="21" spans="1:13" ht="12" customHeight="1">
      <c r="A21" s="450" t="s">
        <v>132</v>
      </c>
      <c r="B21" s="423"/>
      <c r="C21" s="451" t="s">
        <v>21</v>
      </c>
      <c r="D21" s="463"/>
      <c r="E21" s="461"/>
      <c r="F21" s="460"/>
      <c r="G21" s="461"/>
      <c r="H21" s="460">
        <v>187117</v>
      </c>
      <c r="I21" s="455">
        <f>[2]!SP1000P630700800900</f>
        <v>0</v>
      </c>
      <c r="J21" s="455">
        <f t="shared" si="0"/>
        <v>187117</v>
      </c>
      <c r="K21" s="455">
        <f>[1]!SP1000P630700800900</f>
        <v>0</v>
      </c>
      <c r="L21" s="462" t="str">
        <f t="shared" si="2"/>
        <v>--</v>
      </c>
      <c r="M21" s="456" t="s">
        <v>21</v>
      </c>
    </row>
    <row r="22" spans="1:13" ht="12" customHeight="1">
      <c r="A22" s="464" t="s">
        <v>231</v>
      </c>
      <c r="B22" s="442"/>
      <c r="C22" s="465" t="s">
        <v>22</v>
      </c>
      <c r="D22" s="466">
        <f aca="true" t="shared" si="3" ref="D22:K22">SUM(D6:D21)</f>
        <v>420336</v>
      </c>
      <c r="E22" s="466">
        <f t="shared" si="3"/>
        <v>122446</v>
      </c>
      <c r="F22" s="466">
        <f t="shared" si="3"/>
        <v>600415</v>
      </c>
      <c r="G22" s="466">
        <f t="shared" si="3"/>
        <v>62468</v>
      </c>
      <c r="H22" s="466">
        <f t="shared" si="3"/>
        <v>500288</v>
      </c>
      <c r="I22" s="467">
        <f t="shared" si="3"/>
        <v>1436791</v>
      </c>
      <c r="J22" s="467">
        <f t="shared" si="3"/>
        <v>1705953</v>
      </c>
      <c r="K22" s="455">
        <f t="shared" si="3"/>
        <v>1434255</v>
      </c>
      <c r="L22" s="462">
        <f t="shared" si="2"/>
        <v>0.1894</v>
      </c>
      <c r="M22" s="456" t="s">
        <v>22</v>
      </c>
    </row>
    <row r="23" spans="1:13" ht="12" customHeight="1">
      <c r="A23" s="468" t="s">
        <v>42</v>
      </c>
      <c r="B23" s="423"/>
      <c r="C23" s="436"/>
      <c r="D23" s="449"/>
      <c r="E23" s="449"/>
      <c r="F23" s="449"/>
      <c r="G23" s="449"/>
      <c r="H23" s="449"/>
      <c r="I23" s="573">
        <v>40000</v>
      </c>
      <c r="J23" s="573">
        <f>SUM(D24:H24)</f>
        <v>33000</v>
      </c>
      <c r="K23" s="573">
        <v>21530</v>
      </c>
      <c r="L23" s="584">
        <f>IF(J23=K23,0,IF(K23&gt;0,(J23-K23)/K23,"--"))</f>
        <v>0.5327</v>
      </c>
      <c r="M23" s="458"/>
    </row>
    <row r="24" spans="1:13" ht="12" customHeight="1">
      <c r="A24" s="450" t="s">
        <v>43</v>
      </c>
      <c r="B24" s="423"/>
      <c r="C24" s="451" t="s">
        <v>23</v>
      </c>
      <c r="D24" s="453">
        <v>30000</v>
      </c>
      <c r="E24" s="453">
        <v>3000</v>
      </c>
      <c r="F24" s="453"/>
      <c r="G24" s="453"/>
      <c r="H24" s="453"/>
      <c r="I24" s="574"/>
      <c r="J24" s="574"/>
      <c r="K24" s="574"/>
      <c r="L24" s="585"/>
      <c r="M24" s="456" t="s">
        <v>23</v>
      </c>
    </row>
    <row r="25" spans="1:13" ht="12" customHeight="1">
      <c r="A25" s="450" t="s">
        <v>265</v>
      </c>
      <c r="B25" s="423"/>
      <c r="C25" s="436"/>
      <c r="D25" s="449"/>
      <c r="E25" s="449"/>
      <c r="F25" s="449"/>
      <c r="G25" s="449"/>
      <c r="H25" s="449"/>
      <c r="I25" s="573">
        <f>[2]!SP1000P200F2100</f>
        <v>0</v>
      </c>
      <c r="J25" s="573">
        <f>SUM(D26:H26)</f>
        <v>0</v>
      </c>
      <c r="K25" s="573">
        <f>[1]!SP1000P200F2100</f>
        <v>0</v>
      </c>
      <c r="L25" s="584">
        <f>IF(J25=K25,0,IF(K25&gt;0,(J25-K25)/K25,"--"))</f>
        <v>0</v>
      </c>
      <c r="M25" s="458"/>
    </row>
    <row r="26" spans="1:13" ht="12" customHeight="1">
      <c r="A26" s="450" t="s">
        <v>259</v>
      </c>
      <c r="B26" s="423"/>
      <c r="C26" s="451" t="s">
        <v>24</v>
      </c>
      <c r="D26" s="453"/>
      <c r="E26" s="453"/>
      <c r="F26" s="453"/>
      <c r="G26" s="453"/>
      <c r="H26" s="453"/>
      <c r="I26" s="574"/>
      <c r="J26" s="574"/>
      <c r="K26" s="574"/>
      <c r="L26" s="585"/>
      <c r="M26" s="456" t="s">
        <v>24</v>
      </c>
    </row>
    <row r="27" spans="1:13" ht="12" customHeight="1">
      <c r="A27" s="450" t="s">
        <v>239</v>
      </c>
      <c r="B27" s="423"/>
      <c r="C27" s="451" t="s">
        <v>26</v>
      </c>
      <c r="D27" s="460"/>
      <c r="E27" s="461"/>
      <c r="F27" s="460"/>
      <c r="G27" s="461"/>
      <c r="H27" s="460"/>
      <c r="I27" s="455">
        <f>[2]!SP1000P200F2200</f>
        <v>0</v>
      </c>
      <c r="J27" s="455">
        <f aca="true" t="shared" si="4" ref="J27:J35">SUM(D27:H27)</f>
        <v>0</v>
      </c>
      <c r="K27" s="455">
        <f>[1]!SP1000P200F2200</f>
        <v>0</v>
      </c>
      <c r="L27" s="462">
        <f>IF(J27=K27,0,IF(K27&gt;0,(J27-K27)/K27,"--"))</f>
        <v>0</v>
      </c>
      <c r="M27" s="456" t="s">
        <v>26</v>
      </c>
    </row>
    <row r="28" spans="1:13" ht="12" customHeight="1">
      <c r="A28" s="450" t="s">
        <v>44</v>
      </c>
      <c r="B28" s="423"/>
      <c r="C28" s="451" t="s">
        <v>27</v>
      </c>
      <c r="D28" s="460"/>
      <c r="E28" s="461"/>
      <c r="F28" s="460"/>
      <c r="G28" s="461"/>
      <c r="H28" s="460"/>
      <c r="I28" s="455">
        <f>[2]!SP1000P200F2300</f>
        <v>0</v>
      </c>
      <c r="J28" s="455">
        <f t="shared" si="4"/>
        <v>0</v>
      </c>
      <c r="K28" s="455">
        <f>[1]!SP1000P200F2300</f>
        <v>0</v>
      </c>
      <c r="L28" s="462">
        <f aca="true" t="shared" si="5" ref="L28:L47">IF(J28=K28,0,IF(K28&gt;0,(J28-K28)/K28,"--"))</f>
        <v>0</v>
      </c>
      <c r="M28" s="456" t="s">
        <v>27</v>
      </c>
    </row>
    <row r="29" spans="1:13" ht="12" customHeight="1">
      <c r="A29" s="450" t="s">
        <v>45</v>
      </c>
      <c r="B29" s="423"/>
      <c r="C29" s="451" t="s">
        <v>28</v>
      </c>
      <c r="D29" s="460"/>
      <c r="E29" s="461"/>
      <c r="F29" s="460"/>
      <c r="G29" s="461"/>
      <c r="H29" s="460"/>
      <c r="I29" s="455">
        <f>[2]!SP1000P200F2400</f>
        <v>0</v>
      </c>
      <c r="J29" s="455">
        <f t="shared" si="4"/>
        <v>0</v>
      </c>
      <c r="K29" s="455">
        <f>[1]!SP1000P200F2400</f>
        <v>0</v>
      </c>
      <c r="L29" s="462">
        <f t="shared" si="5"/>
        <v>0</v>
      </c>
      <c r="M29" s="456" t="s">
        <v>28</v>
      </c>
    </row>
    <row r="30" spans="1:13" ht="12" customHeight="1">
      <c r="A30" s="450" t="s">
        <v>240</v>
      </c>
      <c r="B30" s="423"/>
      <c r="C30" s="451" t="s">
        <v>29</v>
      </c>
      <c r="D30" s="460"/>
      <c r="E30" s="461"/>
      <c r="F30" s="460"/>
      <c r="G30" s="461"/>
      <c r="H30" s="460"/>
      <c r="I30" s="455">
        <f>[2]!SP1000P200F2500</f>
        <v>0</v>
      </c>
      <c r="J30" s="455">
        <f t="shared" si="4"/>
        <v>0</v>
      </c>
      <c r="K30" s="455">
        <f>[1]!SP1000P200F2500</f>
        <v>0</v>
      </c>
      <c r="L30" s="462">
        <f t="shared" si="5"/>
        <v>0</v>
      </c>
      <c r="M30" s="456" t="s">
        <v>29</v>
      </c>
    </row>
    <row r="31" spans="1:13" ht="12" customHeight="1">
      <c r="A31" s="450" t="s">
        <v>302</v>
      </c>
      <c r="B31" s="423"/>
      <c r="C31" s="451" t="s">
        <v>30</v>
      </c>
      <c r="D31" s="460"/>
      <c r="E31" s="461"/>
      <c r="F31" s="460"/>
      <c r="G31" s="461"/>
      <c r="H31" s="460"/>
      <c r="I31" s="455">
        <f>[2]!SP1000P200F2600</f>
        <v>0</v>
      </c>
      <c r="J31" s="455">
        <f>SUM(D31:H31)</f>
        <v>0</v>
      </c>
      <c r="K31" s="455">
        <f>[1]!SP1000P200F2600</f>
        <v>0</v>
      </c>
      <c r="L31" s="462">
        <f t="shared" si="5"/>
        <v>0</v>
      </c>
      <c r="M31" s="456" t="s">
        <v>30</v>
      </c>
    </row>
    <row r="32" spans="1:13" ht="12" customHeight="1">
      <c r="A32" s="450" t="s">
        <v>127</v>
      </c>
      <c r="B32" s="423"/>
      <c r="C32" s="451" t="s">
        <v>31</v>
      </c>
      <c r="D32" s="460"/>
      <c r="E32" s="461"/>
      <c r="F32" s="460"/>
      <c r="G32" s="461"/>
      <c r="H32" s="460"/>
      <c r="I32" s="455">
        <f>[2]!SP1000P200F2900</f>
        <v>0</v>
      </c>
      <c r="J32" s="455">
        <f t="shared" si="4"/>
        <v>0</v>
      </c>
      <c r="K32" s="455">
        <f>[1]!SP1000P200F2900</f>
        <v>0</v>
      </c>
      <c r="L32" s="462">
        <f t="shared" si="5"/>
        <v>0</v>
      </c>
      <c r="M32" s="456" t="s">
        <v>31</v>
      </c>
    </row>
    <row r="33" spans="1:13" ht="12" customHeight="1">
      <c r="A33" s="450" t="s">
        <v>46</v>
      </c>
      <c r="B33" s="423"/>
      <c r="C33" s="451" t="s">
        <v>32</v>
      </c>
      <c r="D33" s="460"/>
      <c r="E33" s="461"/>
      <c r="F33" s="460"/>
      <c r="G33" s="461"/>
      <c r="H33" s="460"/>
      <c r="I33" s="455">
        <f>[2]!SP1000P200F3000</f>
        <v>0</v>
      </c>
      <c r="J33" s="455">
        <f t="shared" si="4"/>
        <v>0</v>
      </c>
      <c r="K33" s="455">
        <f>[1]!SP1000P200F3000</f>
        <v>0</v>
      </c>
      <c r="L33" s="462">
        <f t="shared" si="5"/>
        <v>0</v>
      </c>
      <c r="M33" s="456" t="s">
        <v>32</v>
      </c>
    </row>
    <row r="34" spans="1:13" ht="12" customHeight="1">
      <c r="A34" s="450" t="s">
        <v>303</v>
      </c>
      <c r="B34" s="423"/>
      <c r="C34" s="451" t="s">
        <v>77</v>
      </c>
      <c r="D34" s="460"/>
      <c r="E34" s="461"/>
      <c r="F34" s="460"/>
      <c r="G34" s="461"/>
      <c r="H34" s="460"/>
      <c r="I34" s="455">
        <f>[2]!SP1000P200F4000</f>
        <v>0</v>
      </c>
      <c r="J34" s="455">
        <f t="shared" si="4"/>
        <v>0</v>
      </c>
      <c r="K34" s="455">
        <f>[1]!SP1000P200F4000</f>
        <v>0</v>
      </c>
      <c r="L34" s="462">
        <f t="shared" si="5"/>
        <v>0</v>
      </c>
      <c r="M34" s="456" t="s">
        <v>77</v>
      </c>
    </row>
    <row r="35" spans="1:13" ht="12" customHeight="1">
      <c r="A35" s="450" t="s">
        <v>47</v>
      </c>
      <c r="B35" s="423"/>
      <c r="C35" s="451" t="s">
        <v>78</v>
      </c>
      <c r="D35" s="463"/>
      <c r="E35" s="461"/>
      <c r="F35" s="460"/>
      <c r="G35" s="461"/>
      <c r="H35" s="460"/>
      <c r="I35" s="455">
        <f>[2]!SP1000P200F5000</f>
        <v>0</v>
      </c>
      <c r="J35" s="455">
        <f t="shared" si="4"/>
        <v>0</v>
      </c>
      <c r="K35" s="455">
        <f>[1]!SP1000P200F5000</f>
        <v>0</v>
      </c>
      <c r="L35" s="462">
        <f t="shared" si="5"/>
        <v>0</v>
      </c>
      <c r="M35" s="456" t="s">
        <v>78</v>
      </c>
    </row>
    <row r="36" spans="1:13" ht="12" customHeight="1">
      <c r="A36" s="464" t="s">
        <v>125</v>
      </c>
      <c r="B36" s="442"/>
      <c r="C36" s="465" t="s">
        <v>79</v>
      </c>
      <c r="D36" s="466">
        <f aca="true" t="shared" si="6" ref="D36:I36">SUM(D23:D35)</f>
        <v>30000</v>
      </c>
      <c r="E36" s="466">
        <f t="shared" si="6"/>
        <v>3000</v>
      </c>
      <c r="F36" s="466">
        <f t="shared" si="6"/>
        <v>0</v>
      </c>
      <c r="G36" s="466">
        <f t="shared" si="6"/>
        <v>0</v>
      </c>
      <c r="H36" s="466">
        <f t="shared" si="6"/>
        <v>0</v>
      </c>
      <c r="I36" s="467">
        <f t="shared" si="6"/>
        <v>40000</v>
      </c>
      <c r="J36" s="467">
        <f>SUM(J23:J35)</f>
        <v>33000</v>
      </c>
      <c r="K36" s="455">
        <f>SUM(K23:K35)</f>
        <v>21530</v>
      </c>
      <c r="L36" s="462">
        <f t="shared" si="5"/>
        <v>0.5327</v>
      </c>
      <c r="M36" s="456" t="s">
        <v>79</v>
      </c>
    </row>
    <row r="37" spans="1:13" ht="12" customHeight="1">
      <c r="A37" s="469" t="s">
        <v>48</v>
      </c>
      <c r="B37" s="470"/>
      <c r="C37" s="471" t="s">
        <v>81</v>
      </c>
      <c r="D37" s="460"/>
      <c r="E37" s="461"/>
      <c r="F37" s="460"/>
      <c r="G37" s="461"/>
      <c r="H37" s="460"/>
      <c r="I37" s="455">
        <f>[2]!SP1000P400</f>
        <v>0</v>
      </c>
      <c r="J37" s="455">
        <f>SUM(D37:H37)</f>
        <v>0</v>
      </c>
      <c r="K37" s="455">
        <f>[1]!SP1000P400</f>
        <v>0</v>
      </c>
      <c r="L37" s="462">
        <f t="shared" si="5"/>
        <v>0</v>
      </c>
      <c r="M37" s="456" t="s">
        <v>81</v>
      </c>
    </row>
    <row r="38" spans="1:13" ht="12" customHeight="1">
      <c r="A38" s="469" t="s">
        <v>49</v>
      </c>
      <c r="B38" s="470"/>
      <c r="C38" s="471" t="s">
        <v>82</v>
      </c>
      <c r="D38" s="460"/>
      <c r="E38" s="461"/>
      <c r="F38" s="460"/>
      <c r="G38" s="461"/>
      <c r="H38" s="460"/>
      <c r="I38" s="455">
        <f>[2]!SP1000P530</f>
        <v>0</v>
      </c>
      <c r="J38" s="455">
        <f>SUM(D38:H38)</f>
        <v>0</v>
      </c>
      <c r="K38" s="455">
        <f>[1]!SP1000P530</f>
        <v>0</v>
      </c>
      <c r="L38" s="462">
        <f t="shared" si="5"/>
        <v>0</v>
      </c>
      <c r="M38" s="456" t="s">
        <v>82</v>
      </c>
    </row>
    <row r="39" spans="1:13" ht="12" customHeight="1">
      <c r="A39" s="469" t="s">
        <v>241</v>
      </c>
      <c r="B39" s="470"/>
      <c r="C39" s="471" t="s">
        <v>83</v>
      </c>
      <c r="D39" s="460"/>
      <c r="E39" s="461"/>
      <c r="F39" s="460"/>
      <c r="G39" s="461"/>
      <c r="H39" s="460"/>
      <c r="I39" s="455">
        <f>[2]!SP1000P540</f>
        <v>0</v>
      </c>
      <c r="J39" s="455">
        <f>SUM(D39:H39)</f>
        <v>0</v>
      </c>
      <c r="K39" s="455">
        <f>[1]!SP1000P540</f>
        <v>0</v>
      </c>
      <c r="L39" s="462">
        <f t="shared" si="5"/>
        <v>0</v>
      </c>
      <c r="M39" s="456" t="s">
        <v>83</v>
      </c>
    </row>
    <row r="40" spans="1:13" ht="12" customHeight="1">
      <c r="A40" s="469" t="s">
        <v>350</v>
      </c>
      <c r="B40" s="470"/>
      <c r="C40" s="471" t="s">
        <v>84</v>
      </c>
      <c r="D40" s="460"/>
      <c r="E40" s="461"/>
      <c r="F40" s="460"/>
      <c r="G40" s="461"/>
      <c r="H40" s="460"/>
      <c r="I40" s="455">
        <f>[2]!SP1000P550</f>
        <v>0</v>
      </c>
      <c r="J40" s="455">
        <f>SUM(D40:H40)</f>
        <v>0</v>
      </c>
      <c r="K40" s="455">
        <f>[1]!SP1000P550</f>
        <v>0</v>
      </c>
      <c r="L40" s="462">
        <f t="shared" si="5"/>
        <v>0</v>
      </c>
      <c r="M40" s="456" t="s">
        <v>84</v>
      </c>
    </row>
    <row r="41" spans="1:13" ht="12" customHeight="1">
      <c r="A41" s="469" t="s">
        <v>455</v>
      </c>
      <c r="B41" s="470"/>
      <c r="C41" s="471" t="s">
        <v>87</v>
      </c>
      <c r="D41" s="466">
        <f aca="true" t="shared" si="7" ref="D41:I41">SUM(D37:D40)+D36+D22</f>
        <v>450336</v>
      </c>
      <c r="E41" s="466">
        <f t="shared" si="7"/>
        <v>125446</v>
      </c>
      <c r="F41" s="466">
        <f t="shared" si="7"/>
        <v>600415</v>
      </c>
      <c r="G41" s="466">
        <f t="shared" si="7"/>
        <v>62468</v>
      </c>
      <c r="H41" s="466">
        <f t="shared" si="7"/>
        <v>500288</v>
      </c>
      <c r="I41" s="467">
        <f t="shared" si="7"/>
        <v>1476791</v>
      </c>
      <c r="J41" s="466">
        <f>SUM(J36:J40)+J22</f>
        <v>1738953</v>
      </c>
      <c r="K41" s="455">
        <f>SUM(K22)+SUM(K36:K40)</f>
        <v>1455785</v>
      </c>
      <c r="L41" s="462">
        <f t="shared" si="5"/>
        <v>0.1945</v>
      </c>
      <c r="M41" s="456" t="s">
        <v>87</v>
      </c>
    </row>
    <row r="42" spans="1:13" ht="12" customHeight="1">
      <c r="A42" s="469" t="s">
        <v>210</v>
      </c>
      <c r="B42" s="470"/>
      <c r="C42" s="471" t="s">
        <v>88</v>
      </c>
      <c r="D42" s="467">
        <f>TotalCSP6100</f>
        <v>45500</v>
      </c>
      <c r="E42" s="467">
        <f>TotalCSP6200</f>
        <v>5483</v>
      </c>
      <c r="F42" s="467">
        <f>TotalCSP630064006500</f>
        <v>33989</v>
      </c>
      <c r="G42" s="467">
        <f>TotalCSP6600</f>
        <v>0</v>
      </c>
      <c r="H42" s="472"/>
      <c r="I42" s="473">
        <v>124334</v>
      </c>
      <c r="J42" s="467">
        <f>SUM(D42:H42)</f>
        <v>84972</v>
      </c>
      <c r="K42" s="455">
        <v>123262</v>
      </c>
      <c r="L42" s="462">
        <f t="shared" si="5"/>
        <v>-0.3106</v>
      </c>
      <c r="M42" s="456" t="s">
        <v>88</v>
      </c>
    </row>
    <row r="43" spans="1:13" ht="12" customHeight="1">
      <c r="A43" s="469" t="s">
        <v>195</v>
      </c>
      <c r="B43" s="470"/>
      <c r="C43" s="471" t="s">
        <v>117</v>
      </c>
      <c r="D43" s="472"/>
      <c r="E43" s="472"/>
      <c r="F43" s="472"/>
      <c r="G43" s="472"/>
      <c r="H43" s="472"/>
      <c r="I43" s="473">
        <v>12000</v>
      </c>
      <c r="J43" s="467">
        <f>ActualTotalInstImpExp</f>
        <v>10326</v>
      </c>
      <c r="K43" s="455">
        <v>10716</v>
      </c>
      <c r="L43" s="462">
        <f t="shared" si="5"/>
        <v>-0.0364</v>
      </c>
      <c r="M43" s="456" t="s">
        <v>117</v>
      </c>
    </row>
    <row r="44" spans="1:14" ht="12" customHeight="1">
      <c r="A44" s="474" t="s">
        <v>284</v>
      </c>
      <c r="B44" s="475"/>
      <c r="C44" s="476" t="s">
        <v>140</v>
      </c>
      <c r="D44" s="473">
        <f>TotalSEIP6100</f>
        <v>0</v>
      </c>
      <c r="E44" s="473">
        <f>TotalSEIP6200</f>
        <v>0</v>
      </c>
      <c r="F44" s="473">
        <f>TotalSEIP630064006500</f>
        <v>0</v>
      </c>
      <c r="G44" s="473">
        <f>TotalSEIP6600</f>
        <v>0</v>
      </c>
      <c r="H44" s="473">
        <f>TotalSEIP6800</f>
        <v>0</v>
      </c>
      <c r="I44" s="473">
        <f>[2]!SP1000StruEngImmProj</f>
        <v>0</v>
      </c>
      <c r="J44" s="473">
        <f>SUM(D44:H44)</f>
        <v>0</v>
      </c>
      <c r="K44" s="455">
        <f>[1]!SP1000StruEngImmProj</f>
        <v>0</v>
      </c>
      <c r="L44" s="462">
        <f t="shared" si="5"/>
        <v>0</v>
      </c>
      <c r="M44" s="477" t="s">
        <v>140</v>
      </c>
      <c r="N44" s="478"/>
    </row>
    <row r="45" spans="1:14" ht="12" customHeight="1">
      <c r="A45" s="474" t="s">
        <v>285</v>
      </c>
      <c r="B45" s="475"/>
      <c r="C45" s="476" t="s">
        <v>182</v>
      </c>
      <c r="D45" s="473">
        <f>TotalCIP6100</f>
        <v>0</v>
      </c>
      <c r="E45" s="473">
        <f>TotalCIP6200</f>
        <v>0</v>
      </c>
      <c r="F45" s="473">
        <f>TotalCIP630064006500</f>
        <v>0</v>
      </c>
      <c r="G45" s="473">
        <f>TotalCIP6600</f>
        <v>0</v>
      </c>
      <c r="H45" s="473">
        <f>TotalCIP6800</f>
        <v>0</v>
      </c>
      <c r="I45" s="473">
        <f>[2]!SP1000CompInstrProj</f>
        <v>0</v>
      </c>
      <c r="J45" s="473">
        <f>SUM(D45:H45)</f>
        <v>0</v>
      </c>
      <c r="K45" s="455">
        <f>[1]!SP1000CompInstrProj</f>
        <v>0</v>
      </c>
      <c r="L45" s="462">
        <f t="shared" si="5"/>
        <v>0</v>
      </c>
      <c r="M45" s="477" t="s">
        <v>182</v>
      </c>
      <c r="N45" s="478"/>
    </row>
    <row r="46" spans="1:14" ht="12" customHeight="1">
      <c r="A46" s="479" t="s">
        <v>456</v>
      </c>
      <c r="B46" s="480"/>
      <c r="C46" s="476" t="s">
        <v>196</v>
      </c>
      <c r="D46" s="481"/>
      <c r="E46" s="481"/>
      <c r="F46" s="481"/>
      <c r="G46" s="481"/>
      <c r="H46" s="481"/>
      <c r="I46" s="473">
        <v>41000</v>
      </c>
      <c r="J46" s="482">
        <f>ActualTotalFederalAndStateProjects</f>
        <v>61678</v>
      </c>
      <c r="K46" s="455">
        <v>49639</v>
      </c>
      <c r="L46" s="462">
        <f t="shared" si="5"/>
        <v>0.2425</v>
      </c>
      <c r="M46" s="477" t="s">
        <v>196</v>
      </c>
      <c r="N46" s="478"/>
    </row>
    <row r="47" spans="1:14" ht="10.5" customHeight="1">
      <c r="A47" s="474" t="s">
        <v>457</v>
      </c>
      <c r="B47" s="475"/>
      <c r="C47" s="476" t="s">
        <v>232</v>
      </c>
      <c r="D47" s="481"/>
      <c r="E47" s="481"/>
      <c r="F47" s="481"/>
      <c r="G47" s="481"/>
      <c r="H47" s="481"/>
      <c r="I47" s="473">
        <f>SUM(I41:I46)</f>
        <v>1654125</v>
      </c>
      <c r="J47" s="482">
        <f>SUM(J41:J46)</f>
        <v>1895929</v>
      </c>
      <c r="K47" s="455">
        <f>SUM(K41:K46)</f>
        <v>1639402</v>
      </c>
      <c r="L47" s="462">
        <f t="shared" si="5"/>
        <v>0.1565</v>
      </c>
      <c r="M47" s="477" t="s">
        <v>232</v>
      </c>
      <c r="N47" s="478"/>
    </row>
    <row r="48" spans="1:14" ht="12" customHeight="1">
      <c r="A48" s="483"/>
      <c r="B48" s="478"/>
      <c r="C48" s="478"/>
      <c r="D48" s="478"/>
      <c r="E48" s="478"/>
      <c r="F48" s="478"/>
      <c r="G48" s="478"/>
      <c r="H48" s="478"/>
      <c r="I48" s="478"/>
      <c r="J48" s="478"/>
      <c r="K48" s="478"/>
      <c r="L48" s="478"/>
      <c r="M48" s="478"/>
      <c r="N48" s="478"/>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formatCells="0" formatColumns="0" formatRows="0"/>
  <mergeCells count="19">
    <mergeCell ref="B1:C1"/>
    <mergeCell ref="L3:L5"/>
    <mergeCell ref="I3:K3"/>
    <mergeCell ref="L23:L24"/>
    <mergeCell ref="L25:L26"/>
    <mergeCell ref="L6:L7"/>
    <mergeCell ref="L8:L9"/>
    <mergeCell ref="K6:K7"/>
    <mergeCell ref="K8:K9"/>
    <mergeCell ref="K23:K24"/>
    <mergeCell ref="K25:K26"/>
    <mergeCell ref="J25:J26"/>
    <mergeCell ref="I25:I26"/>
    <mergeCell ref="J6:J7"/>
    <mergeCell ref="J8:J9"/>
    <mergeCell ref="I23:I24"/>
    <mergeCell ref="J23:J24"/>
    <mergeCell ref="I6:I7"/>
    <mergeCell ref="I8:I9"/>
  </mergeCells>
  <hyperlinks>
    <hyperlink ref="A4" location="ExpensesPage2" display="Expenses"/>
    <hyperlink ref="A46:B46"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scale="78" r:id="rId2"/>
  <headerFooter>
    <oddFooter>&amp;LRev. 8/17&amp;CFY 2017&amp;RPage 2 of 10</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showGridLines="0" workbookViewId="0" topLeftCell="A1">
      <selection activeCell="G27" sqref="G27"/>
    </sheetView>
  </sheetViews>
  <sheetFormatPr defaultColWidth="10.66015625" defaultRowHeight="12.75" customHeight="1"/>
  <cols>
    <col min="1" max="1" width="1.83203125" style="60" customWidth="1"/>
    <col min="2" max="2" width="2" style="60" customWidth="1"/>
    <col min="3" max="3" width="21" style="60" customWidth="1"/>
    <col min="4" max="4" width="33.5" style="60" customWidth="1"/>
    <col min="5" max="5" width="4.5" style="60" customWidth="1"/>
    <col min="6" max="13" width="16" style="60" customWidth="1"/>
    <col min="14" max="14" width="4.5" style="60" customWidth="1"/>
    <col min="15" max="16384" width="10.66015625" style="60" customWidth="1"/>
  </cols>
  <sheetData>
    <row r="1" spans="1:11" ht="12.75" customHeight="1">
      <c r="A1" s="59" t="s">
        <v>0</v>
      </c>
      <c r="D1" s="61" t="str">
        <f>'Cover Page'!D1</f>
        <v>NORTH STAR CHARTER SCHOOL, INC.</v>
      </c>
      <c r="E1" s="62"/>
      <c r="F1" s="64" t="s">
        <v>141</v>
      </c>
      <c r="G1" s="61" t="str">
        <f>'Cover Page'!M1</f>
        <v>MARICOPA</v>
      </c>
      <c r="H1" s="65"/>
      <c r="I1" s="64" t="s">
        <v>138</v>
      </c>
      <c r="J1" s="66" t="str">
        <f>'Cover Page'!R1</f>
        <v>078945000</v>
      </c>
      <c r="K1" s="65"/>
    </row>
    <row r="2" spans="1:13" ht="12.75" customHeight="1">
      <c r="A2" s="67"/>
      <c r="B2" s="67"/>
      <c r="C2" s="67"/>
      <c r="D2" s="67"/>
      <c r="E2" s="67"/>
      <c r="F2" s="67"/>
      <c r="G2" s="67"/>
      <c r="H2" s="67"/>
      <c r="I2" s="67"/>
      <c r="J2" s="68"/>
      <c r="K2" s="68"/>
      <c r="L2" s="68"/>
      <c r="M2" s="68"/>
    </row>
    <row r="3" spans="1:13" ht="12.75" customHeight="1">
      <c r="A3" s="67"/>
      <c r="B3" s="67"/>
      <c r="C3" s="67"/>
      <c r="D3" s="67"/>
      <c r="E3" s="67"/>
      <c r="F3" s="67"/>
      <c r="G3" s="67"/>
      <c r="H3" s="67"/>
      <c r="I3" s="67"/>
      <c r="J3" s="68"/>
      <c r="K3" s="68"/>
      <c r="L3" s="68"/>
      <c r="M3" s="68"/>
    </row>
    <row r="4" spans="1:12" ht="12.75" customHeight="1">
      <c r="A4" s="69"/>
      <c r="B4" s="70"/>
      <c r="C4" s="70"/>
      <c r="D4" s="70"/>
      <c r="E4" s="71"/>
      <c r="F4" s="72"/>
      <c r="G4" s="73" t="s">
        <v>142</v>
      </c>
      <c r="H4" s="590" t="s">
        <v>143</v>
      </c>
      <c r="I4" s="591"/>
      <c r="J4" s="68"/>
      <c r="K4" s="68"/>
      <c r="L4" s="68"/>
    </row>
    <row r="5" spans="1:9" ht="12.75" customHeight="1">
      <c r="A5" s="74" t="s">
        <v>113</v>
      </c>
      <c r="B5" s="68"/>
      <c r="C5" s="68"/>
      <c r="D5" s="68"/>
      <c r="E5" s="75"/>
      <c r="F5" s="76" t="s">
        <v>144</v>
      </c>
      <c r="G5" s="77" t="s">
        <v>145</v>
      </c>
      <c r="H5" s="76"/>
      <c r="I5" s="76"/>
    </row>
    <row r="6" spans="1:9" ht="12" customHeight="1">
      <c r="A6" s="78"/>
      <c r="B6" s="79"/>
      <c r="C6" s="79"/>
      <c r="D6" s="79"/>
      <c r="E6" s="80"/>
      <c r="F6" s="81">
        <v>6100</v>
      </c>
      <c r="G6" s="82">
        <v>6200</v>
      </c>
      <c r="H6" s="81" t="s">
        <v>162</v>
      </c>
      <c r="I6" s="81" t="s">
        <v>163</v>
      </c>
    </row>
    <row r="7" spans="1:11" ht="12.75" customHeight="1">
      <c r="A7" s="83" t="s">
        <v>146</v>
      </c>
      <c r="B7" s="68"/>
      <c r="C7" s="68"/>
      <c r="D7" s="68"/>
      <c r="E7" s="68"/>
      <c r="F7" s="251"/>
      <c r="G7" s="251"/>
      <c r="H7" s="593">
        <v>24867</v>
      </c>
      <c r="I7" s="592">
        <f>SUM(F9:G9)</f>
        <v>16994</v>
      </c>
      <c r="J7" s="52"/>
      <c r="K7" s="52"/>
    </row>
    <row r="8" spans="1:11" ht="12.75" customHeight="1">
      <c r="A8" s="84"/>
      <c r="B8" s="68" t="s">
        <v>36</v>
      </c>
      <c r="C8" s="68"/>
      <c r="D8" s="68"/>
      <c r="E8" s="85"/>
      <c r="F8" s="257"/>
      <c r="G8" s="257"/>
      <c r="H8" s="593"/>
      <c r="I8" s="593"/>
      <c r="J8" s="52"/>
      <c r="K8" s="52"/>
    </row>
    <row r="9" spans="1:11" ht="12.75" customHeight="1">
      <c r="A9" s="84"/>
      <c r="B9" s="68"/>
      <c r="C9" s="68" t="s">
        <v>201</v>
      </c>
      <c r="D9" s="68"/>
      <c r="E9" s="85">
        <v>1</v>
      </c>
      <c r="F9" s="86">
        <v>15500</v>
      </c>
      <c r="G9" s="86">
        <v>1494</v>
      </c>
      <c r="H9" s="594"/>
      <c r="I9" s="594"/>
      <c r="J9" s="87" t="s">
        <v>6</v>
      </c>
      <c r="K9" s="52"/>
    </row>
    <row r="10" spans="1:11" ht="12.75" customHeight="1">
      <c r="A10" s="84"/>
      <c r="B10" s="68"/>
      <c r="C10" s="68" t="s">
        <v>147</v>
      </c>
      <c r="D10" s="68"/>
      <c r="E10" s="85">
        <v>2</v>
      </c>
      <c r="F10" s="86"/>
      <c r="G10" s="86"/>
      <c r="H10" s="63">
        <f>[2]!CSP1011P100F2100</f>
        <v>0</v>
      </c>
      <c r="I10" s="63">
        <f>SUM(F10:G10)</f>
        <v>0</v>
      </c>
      <c r="J10" s="87" t="s">
        <v>7</v>
      </c>
      <c r="K10" s="52"/>
    </row>
    <row r="11" spans="1:11" ht="12.75" customHeight="1">
      <c r="A11" s="84"/>
      <c r="B11" s="68"/>
      <c r="C11" s="68" t="s">
        <v>242</v>
      </c>
      <c r="D11" s="68"/>
      <c r="E11" s="85">
        <v>3</v>
      </c>
      <c r="F11" s="86"/>
      <c r="G11" s="86"/>
      <c r="H11" s="63">
        <f>[2]!CSP1011P100F2200</f>
        <v>0</v>
      </c>
      <c r="I11" s="63">
        <f>SUM(F11:G11)</f>
        <v>0</v>
      </c>
      <c r="J11" s="87" t="s">
        <v>8</v>
      </c>
      <c r="K11" s="52"/>
    </row>
    <row r="12" spans="1:10" ht="12.75" customHeight="1">
      <c r="A12" s="78"/>
      <c r="B12" s="79" t="s">
        <v>148</v>
      </c>
      <c r="C12" s="79"/>
      <c r="D12" s="79"/>
      <c r="E12" s="88">
        <v>4</v>
      </c>
      <c r="F12" s="89">
        <f>SUM(F7:F11)</f>
        <v>15500</v>
      </c>
      <c r="G12" s="89">
        <f>SUM(G7:G11)</f>
        <v>1494</v>
      </c>
      <c r="H12" s="63">
        <f>SUM(H7:H11)</f>
        <v>24867</v>
      </c>
      <c r="I12" s="63">
        <f>SUM(I7:I11)</f>
        <v>16994</v>
      </c>
      <c r="J12" s="90" t="s">
        <v>9</v>
      </c>
    </row>
    <row r="13" spans="1:11" ht="12.75" customHeight="1">
      <c r="A13" s="84"/>
      <c r="B13" s="68" t="s">
        <v>42</v>
      </c>
      <c r="C13" s="68"/>
      <c r="D13" s="68"/>
      <c r="E13" s="85"/>
      <c r="F13" s="257"/>
      <c r="G13" s="257"/>
      <c r="H13" s="593">
        <f>[2]!CSP1011P200F1000</f>
        <v>0</v>
      </c>
      <c r="I13" s="592">
        <f>SUM(F14:G14)</f>
        <v>0</v>
      </c>
      <c r="J13" s="87"/>
      <c r="K13" s="52"/>
    </row>
    <row r="14" spans="1:11" ht="12.75" customHeight="1">
      <c r="A14" s="84"/>
      <c r="B14" s="68"/>
      <c r="C14" s="68" t="s">
        <v>201</v>
      </c>
      <c r="D14" s="68"/>
      <c r="E14" s="85">
        <v>5</v>
      </c>
      <c r="F14" s="258"/>
      <c r="G14" s="98"/>
      <c r="H14" s="594"/>
      <c r="I14" s="594"/>
      <c r="J14" s="87" t="s">
        <v>10</v>
      </c>
      <c r="K14" s="52"/>
    </row>
    <row r="15" spans="1:11" ht="12.75" customHeight="1">
      <c r="A15" s="84"/>
      <c r="B15" s="68"/>
      <c r="C15" s="68" t="s">
        <v>147</v>
      </c>
      <c r="D15" s="68"/>
      <c r="E15" s="85">
        <v>6</v>
      </c>
      <c r="F15" s="91"/>
      <c r="G15" s="92"/>
      <c r="H15" s="93">
        <f>[2]!CSP1011P200F2100</f>
        <v>0</v>
      </c>
      <c r="I15" s="93">
        <f>SUM(F15:G15)</f>
        <v>0</v>
      </c>
      <c r="J15" s="87" t="s">
        <v>11</v>
      </c>
      <c r="K15" s="52"/>
    </row>
    <row r="16" spans="1:11" ht="12.75" customHeight="1">
      <c r="A16" s="84"/>
      <c r="B16" s="68"/>
      <c r="C16" s="68" t="s">
        <v>242</v>
      </c>
      <c r="D16" s="68"/>
      <c r="E16" s="85">
        <v>7</v>
      </c>
      <c r="F16" s="91"/>
      <c r="G16" s="92"/>
      <c r="H16" s="93">
        <f>[2]!CSP1011P200F2200</f>
        <v>0</v>
      </c>
      <c r="I16" s="93">
        <f>SUM(F16:G16)</f>
        <v>0</v>
      </c>
      <c r="J16" s="87" t="s">
        <v>12</v>
      </c>
      <c r="K16" s="52"/>
    </row>
    <row r="17" spans="1:11" ht="12.75" customHeight="1">
      <c r="A17" s="78"/>
      <c r="B17" s="79" t="s">
        <v>149</v>
      </c>
      <c r="C17" s="79"/>
      <c r="D17" s="79"/>
      <c r="E17" s="88">
        <v>8</v>
      </c>
      <c r="F17" s="94">
        <f>SUM(F13:F16)</f>
        <v>0</v>
      </c>
      <c r="G17" s="94">
        <f>SUM(G13:G16)</f>
        <v>0</v>
      </c>
      <c r="H17" s="93">
        <f>SUM(H13:H16)</f>
        <v>0</v>
      </c>
      <c r="I17" s="93">
        <f>SUM(I13:I16)</f>
        <v>0</v>
      </c>
      <c r="J17" s="87" t="s">
        <v>14</v>
      </c>
      <c r="K17" s="52"/>
    </row>
    <row r="18" spans="1:10" ht="12.75" customHeight="1">
      <c r="A18" s="84"/>
      <c r="B18" s="68" t="s">
        <v>164</v>
      </c>
      <c r="C18" s="68"/>
      <c r="D18" s="95" t="s">
        <v>165</v>
      </c>
      <c r="E18" s="85"/>
      <c r="F18" s="257"/>
      <c r="G18" s="257"/>
      <c r="H18" s="593">
        <f>[2]!CSP1011POtherF1000</f>
        <v>0</v>
      </c>
      <c r="I18" s="592">
        <f>SUM(F19:G19)</f>
        <v>0</v>
      </c>
      <c r="J18" s="90"/>
    </row>
    <row r="19" spans="1:11" ht="12.75" customHeight="1">
      <c r="A19" s="84"/>
      <c r="B19" s="68"/>
      <c r="C19" s="68" t="s">
        <v>201</v>
      </c>
      <c r="D19" s="68"/>
      <c r="E19" s="85">
        <v>9</v>
      </c>
      <c r="F19" s="258"/>
      <c r="G19" s="98"/>
      <c r="H19" s="594"/>
      <c r="I19" s="594"/>
      <c r="J19" s="87" t="s">
        <v>15</v>
      </c>
      <c r="K19" s="52"/>
    </row>
    <row r="20" spans="1:11" ht="12.75" customHeight="1">
      <c r="A20" s="84"/>
      <c r="B20" s="68"/>
      <c r="C20" s="68" t="s">
        <v>147</v>
      </c>
      <c r="D20" s="68"/>
      <c r="E20" s="85">
        <v>10</v>
      </c>
      <c r="F20" s="91"/>
      <c r="G20" s="92"/>
      <c r="H20" s="93">
        <f>[2]!CSP1011POtherF2100</f>
        <v>0</v>
      </c>
      <c r="I20" s="93">
        <f>SUM(F20:G20)</f>
        <v>0</v>
      </c>
      <c r="J20" s="87" t="s">
        <v>16</v>
      </c>
      <c r="K20" s="52"/>
    </row>
    <row r="21" spans="1:11" ht="12.75" customHeight="1">
      <c r="A21" s="84"/>
      <c r="B21" s="68"/>
      <c r="C21" s="68" t="s">
        <v>242</v>
      </c>
      <c r="D21" s="68"/>
      <c r="E21" s="85">
        <v>11</v>
      </c>
      <c r="F21" s="91"/>
      <c r="G21" s="92"/>
      <c r="H21" s="93">
        <f>[2]!CSP1011POtherF2200</f>
        <v>0</v>
      </c>
      <c r="I21" s="93">
        <f>SUM(F21:G21)</f>
        <v>0</v>
      </c>
      <c r="J21" s="87" t="s">
        <v>17</v>
      </c>
      <c r="K21" s="52"/>
    </row>
    <row r="22" spans="1:11" ht="12.75" customHeight="1">
      <c r="A22" s="78"/>
      <c r="B22" s="79" t="s">
        <v>150</v>
      </c>
      <c r="C22" s="79"/>
      <c r="D22" s="79"/>
      <c r="E22" s="88">
        <v>12</v>
      </c>
      <c r="F22" s="94">
        <f>SUM(F18:F21)</f>
        <v>0</v>
      </c>
      <c r="G22" s="94">
        <f>SUM(G18:G21)</f>
        <v>0</v>
      </c>
      <c r="H22" s="93">
        <f>SUM(H18:H21)</f>
        <v>0</v>
      </c>
      <c r="I22" s="93">
        <f>SUM(I18:I21)</f>
        <v>0</v>
      </c>
      <c r="J22" s="87" t="s">
        <v>18</v>
      </c>
      <c r="K22" s="52"/>
    </row>
    <row r="23" spans="1:11" ht="12.75" customHeight="1">
      <c r="A23" s="78" t="s">
        <v>151</v>
      </c>
      <c r="B23" s="79"/>
      <c r="C23" s="79"/>
      <c r="D23" s="79"/>
      <c r="E23" s="96">
        <v>13</v>
      </c>
      <c r="F23" s="94">
        <f>F12+F17+F22</f>
        <v>15500</v>
      </c>
      <c r="G23" s="94">
        <f>G12+G17+G22</f>
        <v>1494</v>
      </c>
      <c r="H23" s="94">
        <f>H12+H17+H22</f>
        <v>24867</v>
      </c>
      <c r="I23" s="94">
        <f>I12+I17+I22</f>
        <v>16994</v>
      </c>
      <c r="J23" s="87" t="s">
        <v>20</v>
      </c>
      <c r="K23" s="52"/>
    </row>
    <row r="24" spans="1:11" ht="12" customHeight="1">
      <c r="A24" s="83" t="s">
        <v>152</v>
      </c>
      <c r="B24" s="68"/>
      <c r="C24" s="68"/>
      <c r="D24" s="68"/>
      <c r="E24" s="68"/>
      <c r="F24" s="251"/>
      <c r="G24" s="251"/>
      <c r="H24" s="592">
        <v>49734</v>
      </c>
      <c r="I24" s="593">
        <f>SUM(F26:G26)</f>
        <v>33989</v>
      </c>
      <c r="J24" s="87"/>
      <c r="K24" s="52"/>
    </row>
    <row r="25" spans="1:11" ht="12" customHeight="1">
      <c r="A25" s="84"/>
      <c r="B25" s="68" t="s">
        <v>36</v>
      </c>
      <c r="C25" s="68"/>
      <c r="D25" s="68"/>
      <c r="E25" s="85"/>
      <c r="F25" s="257"/>
      <c r="G25" s="257"/>
      <c r="H25" s="593"/>
      <c r="I25" s="593"/>
      <c r="J25" s="87"/>
      <c r="K25" s="52"/>
    </row>
    <row r="26" spans="1:11" ht="12.75">
      <c r="A26" s="84"/>
      <c r="B26" s="68"/>
      <c r="C26" s="68" t="s">
        <v>201</v>
      </c>
      <c r="D26" s="68"/>
      <c r="E26" s="85">
        <v>14</v>
      </c>
      <c r="F26" s="98">
        <v>30000</v>
      </c>
      <c r="G26" s="98">
        <v>3989</v>
      </c>
      <c r="H26" s="594"/>
      <c r="I26" s="594"/>
      <c r="J26" s="87" t="s">
        <v>21</v>
      </c>
      <c r="K26" s="52"/>
    </row>
    <row r="27" spans="1:11" ht="12" customHeight="1">
      <c r="A27" s="84"/>
      <c r="B27" s="68"/>
      <c r="C27" s="68" t="s">
        <v>147</v>
      </c>
      <c r="D27" s="68"/>
      <c r="E27" s="85">
        <v>15</v>
      </c>
      <c r="F27" s="98"/>
      <c r="G27" s="98"/>
      <c r="H27" s="93">
        <f>[2]!CSP1012P100F2100</f>
        <v>0</v>
      </c>
      <c r="I27" s="93">
        <f>SUM(F27:G27)</f>
        <v>0</v>
      </c>
      <c r="J27" s="87" t="s">
        <v>22</v>
      </c>
      <c r="K27" s="52"/>
    </row>
    <row r="28" spans="1:11" ht="12.75" customHeight="1">
      <c r="A28" s="84"/>
      <c r="B28" s="68"/>
      <c r="C28" s="68" t="s">
        <v>242</v>
      </c>
      <c r="D28" s="68"/>
      <c r="E28" s="85">
        <v>16</v>
      </c>
      <c r="F28" s="98"/>
      <c r="G28" s="98"/>
      <c r="H28" s="93">
        <f>[2]!CSP1012P100F2200</f>
        <v>0</v>
      </c>
      <c r="I28" s="93">
        <f>SUM(F28:G28)</f>
        <v>0</v>
      </c>
      <c r="J28" s="87" t="s">
        <v>23</v>
      </c>
      <c r="K28" s="52"/>
    </row>
    <row r="29" spans="1:10" ht="12.75">
      <c r="A29" s="78"/>
      <c r="B29" s="79" t="s">
        <v>153</v>
      </c>
      <c r="C29" s="79"/>
      <c r="D29" s="79"/>
      <c r="E29" s="88">
        <v>17</v>
      </c>
      <c r="F29" s="99">
        <f>SUM(F24:F28)</f>
        <v>30000</v>
      </c>
      <c r="G29" s="99">
        <f>SUM(G24:G28)</f>
        <v>3989</v>
      </c>
      <c r="H29" s="93">
        <f>SUM(H24:H28)</f>
        <v>49734</v>
      </c>
      <c r="I29" s="93">
        <f>SUM(I24:I28)</f>
        <v>33989</v>
      </c>
      <c r="J29" s="90" t="s">
        <v>24</v>
      </c>
    </row>
    <row r="30" spans="1:11" ht="12" customHeight="1">
      <c r="A30" s="84"/>
      <c r="B30" s="68" t="s">
        <v>42</v>
      </c>
      <c r="C30" s="68"/>
      <c r="D30" s="68"/>
      <c r="E30" s="85"/>
      <c r="F30" s="257"/>
      <c r="G30" s="257"/>
      <c r="H30" s="593">
        <f>[2]!CSP1012P200F1000</f>
        <v>0</v>
      </c>
      <c r="I30" s="592">
        <f>SUM(F31:G31)</f>
        <v>0</v>
      </c>
      <c r="J30" s="87"/>
      <c r="K30" s="52"/>
    </row>
    <row r="31" spans="1:11" ht="12" customHeight="1">
      <c r="A31" s="84"/>
      <c r="B31" s="68"/>
      <c r="C31" s="68" t="s">
        <v>201</v>
      </c>
      <c r="D31" s="68"/>
      <c r="E31" s="85">
        <v>18</v>
      </c>
      <c r="F31" s="258"/>
      <c r="G31" s="98"/>
      <c r="H31" s="594"/>
      <c r="I31" s="594"/>
      <c r="J31" s="87" t="s">
        <v>26</v>
      </c>
      <c r="K31" s="52"/>
    </row>
    <row r="32" spans="1:11" ht="12" customHeight="1">
      <c r="A32" s="84"/>
      <c r="B32" s="68"/>
      <c r="C32" s="68" t="s">
        <v>147</v>
      </c>
      <c r="D32" s="68"/>
      <c r="E32" s="85">
        <v>19</v>
      </c>
      <c r="F32" s="91"/>
      <c r="G32" s="92"/>
      <c r="H32" s="93">
        <f>[2]!CSP1012P200F2100</f>
        <v>0</v>
      </c>
      <c r="I32" s="93">
        <f>SUM(F32:G32)</f>
        <v>0</v>
      </c>
      <c r="J32" s="87" t="s">
        <v>27</v>
      </c>
      <c r="K32" s="52"/>
    </row>
    <row r="33" spans="1:11" ht="12" customHeight="1">
      <c r="A33" s="84"/>
      <c r="B33" s="68"/>
      <c r="C33" s="68" t="s">
        <v>242</v>
      </c>
      <c r="D33" s="68"/>
      <c r="E33" s="85">
        <v>20</v>
      </c>
      <c r="F33" s="91"/>
      <c r="G33" s="92"/>
      <c r="H33" s="93">
        <f>[2]!CSP1012P200F2200</f>
        <v>0</v>
      </c>
      <c r="I33" s="93">
        <f>SUM(F33:G33)</f>
        <v>0</v>
      </c>
      <c r="J33" s="87" t="s">
        <v>28</v>
      </c>
      <c r="K33" s="52"/>
    </row>
    <row r="34" spans="1:11" ht="12.75">
      <c r="A34" s="78"/>
      <c r="B34" s="79" t="s">
        <v>154</v>
      </c>
      <c r="C34" s="79"/>
      <c r="D34" s="79"/>
      <c r="E34" s="88">
        <v>21</v>
      </c>
      <c r="F34" s="94">
        <f>SUM(F30:F33)</f>
        <v>0</v>
      </c>
      <c r="G34" s="93">
        <f>SUM(G30:G33)</f>
        <v>0</v>
      </c>
      <c r="H34" s="93">
        <f>SUM(H30:H33)</f>
        <v>0</v>
      </c>
      <c r="I34" s="93">
        <f>SUM(I30:I33)</f>
        <v>0</v>
      </c>
      <c r="J34" s="87" t="s">
        <v>29</v>
      </c>
      <c r="K34" s="52"/>
    </row>
    <row r="35" spans="1:10" ht="12" customHeight="1">
      <c r="A35" s="84"/>
      <c r="B35" s="68" t="s">
        <v>164</v>
      </c>
      <c r="C35" s="68"/>
      <c r="D35" s="95" t="s">
        <v>165</v>
      </c>
      <c r="E35" s="85"/>
      <c r="F35" s="257"/>
      <c r="G35" s="257"/>
      <c r="H35" s="593">
        <f>[2]!CSP1012POtherF1000</f>
        <v>0</v>
      </c>
      <c r="I35" s="592">
        <f>SUM(F36:G36)</f>
        <v>0</v>
      </c>
      <c r="J35" s="90"/>
    </row>
    <row r="36" spans="1:11" ht="12" customHeight="1">
      <c r="A36" s="84"/>
      <c r="B36" s="68"/>
      <c r="C36" s="68" t="s">
        <v>201</v>
      </c>
      <c r="D36" s="68"/>
      <c r="E36" s="85">
        <v>22</v>
      </c>
      <c r="F36" s="250"/>
      <c r="G36" s="98"/>
      <c r="H36" s="594"/>
      <c r="I36" s="594"/>
      <c r="J36" s="87" t="s">
        <v>30</v>
      </c>
      <c r="K36" s="52"/>
    </row>
    <row r="37" spans="1:11" ht="12" customHeight="1">
      <c r="A37" s="84"/>
      <c r="B37" s="68"/>
      <c r="C37" s="68" t="s">
        <v>147</v>
      </c>
      <c r="D37" s="68"/>
      <c r="E37" s="85">
        <v>23</v>
      </c>
      <c r="F37" s="91"/>
      <c r="G37" s="92"/>
      <c r="H37" s="93">
        <f>[2]!CSP1012POtherF2100</f>
        <v>0</v>
      </c>
      <c r="I37" s="93">
        <f>SUM(F37:G37)</f>
        <v>0</v>
      </c>
      <c r="J37" s="87" t="s">
        <v>31</v>
      </c>
      <c r="K37" s="52"/>
    </row>
    <row r="38" spans="1:11" ht="12" customHeight="1">
      <c r="A38" s="84"/>
      <c r="B38" s="68"/>
      <c r="C38" s="68" t="s">
        <v>242</v>
      </c>
      <c r="D38" s="68"/>
      <c r="E38" s="85">
        <v>24</v>
      </c>
      <c r="F38" s="91"/>
      <c r="G38" s="92"/>
      <c r="H38" s="93">
        <f>[2]!CSP1012POtherF2200</f>
        <v>0</v>
      </c>
      <c r="I38" s="93">
        <f>SUM(F38:G38)</f>
        <v>0</v>
      </c>
      <c r="J38" s="87" t="s">
        <v>32</v>
      </c>
      <c r="K38" s="52"/>
    </row>
    <row r="39" spans="1:11" ht="12" customHeight="1">
      <c r="A39" s="78"/>
      <c r="B39" s="79" t="s">
        <v>155</v>
      </c>
      <c r="C39" s="79"/>
      <c r="D39" s="79"/>
      <c r="E39" s="88">
        <v>25</v>
      </c>
      <c r="F39" s="94">
        <f>SUM(F35:F38)</f>
        <v>0</v>
      </c>
      <c r="G39" s="93">
        <f>SUM(G35:G38)</f>
        <v>0</v>
      </c>
      <c r="H39" s="93">
        <f>SUM(H35:H38)</f>
        <v>0</v>
      </c>
      <c r="I39" s="93">
        <f>SUM(I35:I38)</f>
        <v>0</v>
      </c>
      <c r="J39" s="87" t="s">
        <v>77</v>
      </c>
      <c r="K39" s="52"/>
    </row>
    <row r="40" spans="1:11" ht="12" customHeight="1">
      <c r="A40" s="78" t="s">
        <v>156</v>
      </c>
      <c r="B40" s="79"/>
      <c r="C40" s="79"/>
      <c r="D40" s="79"/>
      <c r="E40" s="96">
        <v>26</v>
      </c>
      <c r="F40" s="100">
        <f>F29+F34+F39</f>
        <v>30000</v>
      </c>
      <c r="G40" s="100">
        <f>G29+G34+G39</f>
        <v>3989</v>
      </c>
      <c r="H40" s="100">
        <f>H29+H34+H39</f>
        <v>49734</v>
      </c>
      <c r="I40" s="100">
        <f>I29+I34+I39</f>
        <v>33989</v>
      </c>
      <c r="J40" s="87" t="s">
        <v>78</v>
      </c>
      <c r="K40" s="52"/>
    </row>
    <row r="41" spans="1:13" ht="12" customHeight="1">
      <c r="A41" s="68"/>
      <c r="B41" s="68"/>
      <c r="C41" s="68"/>
      <c r="D41" s="68"/>
      <c r="E41" s="97"/>
      <c r="F41" s="101"/>
      <c r="G41" s="101"/>
      <c r="H41" s="101"/>
      <c r="I41" s="101"/>
      <c r="K41" s="101"/>
      <c r="L41" s="102"/>
      <c r="M41" s="103"/>
    </row>
    <row r="42" spans="1:13" ht="12" customHeight="1">
      <c r="A42" s="68"/>
      <c r="B42" s="68"/>
      <c r="C42" s="68"/>
      <c r="D42" s="68"/>
      <c r="E42" s="97"/>
      <c r="F42" s="101"/>
      <c r="G42" s="101"/>
      <c r="H42" s="101"/>
      <c r="I42" s="101"/>
      <c r="K42" s="101"/>
      <c r="L42" s="102"/>
      <c r="M42" s="103"/>
    </row>
    <row r="43" spans="1:12" ht="12.75" customHeight="1">
      <c r="A43" s="68"/>
      <c r="B43" s="68"/>
      <c r="C43" s="68"/>
      <c r="D43" s="68"/>
      <c r="E43" s="97"/>
      <c r="F43" s="101"/>
      <c r="G43" s="101"/>
      <c r="H43" s="101"/>
      <c r="I43" s="101"/>
      <c r="J43" s="101"/>
      <c r="K43" s="102"/>
      <c r="L43" s="104"/>
    </row>
    <row r="48" ht="12.75" customHeight="1">
      <c r="A48" s="105">
        <v>1</v>
      </c>
    </row>
    <row r="50" ht="12.75" customHeight="1">
      <c r="C50" s="105"/>
    </row>
  </sheetData>
  <sheetProtection formatCells="0" formatColumns="0" formatRows="0"/>
  <mergeCells count="13">
    <mergeCell ref="H7:H9"/>
    <mergeCell ref="H35:H36"/>
    <mergeCell ref="H24:H26"/>
    <mergeCell ref="H4:I4"/>
    <mergeCell ref="I7:I9"/>
    <mergeCell ref="I13:I14"/>
    <mergeCell ref="I18:I19"/>
    <mergeCell ref="H13:H14"/>
    <mergeCell ref="I35:I36"/>
    <mergeCell ref="I24:I26"/>
    <mergeCell ref="H30:H31"/>
    <mergeCell ref="I30:I31"/>
    <mergeCell ref="H18:H19"/>
  </mergeCells>
  <printOptions horizontalCentered="1"/>
  <pageMargins left="1" right="0.25" top="0.5" bottom="0.25" header="0.5" footer="0.15"/>
  <pageSetup fitToHeight="1" fitToWidth="1" horizontalDpi="300" verticalDpi="300" orientation="landscape" scale="97" r:id="rId1"/>
  <headerFooter>
    <oddFooter>&amp;LRev. 8/17&amp;CFY 2017&amp;RPage 3 of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4">
      <selection activeCell="H34" sqref="H34"/>
    </sheetView>
  </sheetViews>
  <sheetFormatPr defaultColWidth="8.83203125" defaultRowHeight="12.75"/>
  <cols>
    <col min="1" max="1" width="1.83203125" style="314" customWidth="1"/>
    <col min="2" max="2" width="2" style="314" customWidth="1"/>
    <col min="3" max="3" width="19.5" style="314" customWidth="1"/>
    <col min="4" max="4" width="29.33203125" style="314" customWidth="1"/>
    <col min="5" max="5" width="3.66015625" style="314" bestFit="1" customWidth="1"/>
    <col min="6" max="6" width="17.33203125" style="314" customWidth="1"/>
    <col min="7" max="7" width="18" style="314" customWidth="1"/>
    <col min="8" max="11" width="17.33203125" style="314" customWidth="1"/>
    <col min="12" max="12" width="3.66015625" style="314" bestFit="1" customWidth="1"/>
    <col min="13" max="16384" width="8.83203125" style="314" customWidth="1"/>
  </cols>
  <sheetData>
    <row r="1" spans="1:12" ht="12.75">
      <c r="A1" s="309" t="s">
        <v>0</v>
      </c>
      <c r="B1" s="310"/>
      <c r="C1" s="310"/>
      <c r="D1" s="597" t="str">
        <f>'Cover Page'!D1</f>
        <v>NORTH STAR CHARTER SCHOOL, INC.</v>
      </c>
      <c r="E1" s="597"/>
      <c r="F1" s="312"/>
      <c r="G1" s="313" t="s">
        <v>141</v>
      </c>
      <c r="H1" s="311" t="str">
        <f>'Cover Page'!M1</f>
        <v>MARICOPA</v>
      </c>
      <c r="J1" s="313" t="s">
        <v>138</v>
      </c>
      <c r="K1" s="603" t="str">
        <f>'Cover Page'!R1</f>
        <v>078945000</v>
      </c>
      <c r="L1" s="603"/>
    </row>
    <row r="2" spans="1:12" ht="12.75">
      <c r="A2" s="315"/>
      <c r="B2" s="315"/>
      <c r="C2" s="315"/>
      <c r="D2" s="315"/>
      <c r="E2" s="315"/>
      <c r="F2" s="315"/>
      <c r="G2" s="315"/>
      <c r="H2" s="315"/>
      <c r="I2" s="315"/>
      <c r="J2" s="316"/>
      <c r="K2" s="316"/>
      <c r="L2" s="316"/>
    </row>
    <row r="3" spans="1:12" ht="12.75">
      <c r="A3" s="315"/>
      <c r="B3" s="315"/>
      <c r="C3" s="315"/>
      <c r="D3" s="315"/>
      <c r="E3" s="315"/>
      <c r="F3" s="315"/>
      <c r="G3" s="315"/>
      <c r="H3" s="315"/>
      <c r="I3" s="315"/>
      <c r="J3" s="316"/>
      <c r="K3" s="316"/>
      <c r="L3" s="316"/>
    </row>
    <row r="4" spans="1:12" ht="12.75">
      <c r="A4" s="595"/>
      <c r="B4" s="595"/>
      <c r="C4" s="595"/>
      <c r="D4" s="595"/>
      <c r="E4" s="595"/>
      <c r="F4" s="595"/>
      <c r="G4" s="595"/>
      <c r="H4" s="595"/>
      <c r="I4" s="596"/>
      <c r="J4" s="596"/>
      <c r="K4" s="596"/>
      <c r="L4" s="316"/>
    </row>
    <row r="5" spans="1:12" ht="12.75">
      <c r="A5" s="317"/>
      <c r="B5" s="318"/>
      <c r="C5" s="318"/>
      <c r="D5" s="318"/>
      <c r="E5" s="319"/>
      <c r="F5" s="320"/>
      <c r="G5" s="320"/>
      <c r="H5" s="598" t="s">
        <v>157</v>
      </c>
      <c r="I5" s="320"/>
      <c r="J5" s="601" t="s">
        <v>143</v>
      </c>
      <c r="K5" s="602"/>
      <c r="L5" s="310"/>
    </row>
    <row r="6" spans="1:12" ht="12.75">
      <c r="A6" s="321" t="s">
        <v>113</v>
      </c>
      <c r="B6" s="316"/>
      <c r="C6" s="316"/>
      <c r="D6" s="316"/>
      <c r="E6" s="322"/>
      <c r="F6" s="323" t="s">
        <v>144</v>
      </c>
      <c r="G6" s="323" t="s">
        <v>158</v>
      </c>
      <c r="H6" s="599"/>
      <c r="I6" s="323" t="s">
        <v>159</v>
      </c>
      <c r="J6" s="323"/>
      <c r="K6" s="323"/>
      <c r="L6" s="310"/>
    </row>
    <row r="7" spans="1:12" ht="12.75">
      <c r="A7" s="324"/>
      <c r="B7" s="325"/>
      <c r="C7" s="325"/>
      <c r="D7" s="325"/>
      <c r="E7" s="326"/>
      <c r="F7" s="327">
        <v>6100</v>
      </c>
      <c r="G7" s="327">
        <v>6200</v>
      </c>
      <c r="H7" s="600"/>
      <c r="I7" s="327">
        <v>6600</v>
      </c>
      <c r="J7" s="327" t="s">
        <v>162</v>
      </c>
      <c r="K7" s="327" t="s">
        <v>163</v>
      </c>
      <c r="L7" s="310"/>
    </row>
    <row r="8" spans="1:12" ht="12.75">
      <c r="A8" s="328" t="s">
        <v>160</v>
      </c>
      <c r="B8" s="316"/>
      <c r="C8" s="316"/>
      <c r="D8" s="316"/>
      <c r="E8" s="329"/>
      <c r="F8" s="330"/>
      <c r="G8" s="330"/>
      <c r="H8" s="330"/>
      <c r="I8" s="330"/>
      <c r="J8" s="604">
        <v>49733</v>
      </c>
      <c r="K8" s="609">
        <f>SUM(F10:I10)</f>
        <v>0</v>
      </c>
      <c r="L8" s="331"/>
    </row>
    <row r="9" spans="1:12" ht="12.75">
      <c r="A9" s="332"/>
      <c r="B9" s="316" t="s">
        <v>36</v>
      </c>
      <c r="C9" s="316"/>
      <c r="D9" s="316"/>
      <c r="E9" s="316"/>
      <c r="F9" s="333"/>
      <c r="G9" s="333"/>
      <c r="H9" s="333"/>
      <c r="I9" s="333"/>
      <c r="J9" s="605"/>
      <c r="K9" s="610"/>
      <c r="L9" s="332"/>
    </row>
    <row r="10" spans="1:12" ht="12.75">
      <c r="A10" s="332"/>
      <c r="B10" s="316"/>
      <c r="C10" s="316" t="s">
        <v>201</v>
      </c>
      <c r="D10" s="316"/>
      <c r="E10" s="334">
        <v>1</v>
      </c>
      <c r="F10" s="335"/>
      <c r="G10" s="335"/>
      <c r="H10" s="335"/>
      <c r="I10" s="335"/>
      <c r="J10" s="606"/>
      <c r="K10" s="611"/>
      <c r="L10" s="338">
        <v>1</v>
      </c>
    </row>
    <row r="11" spans="1:12" ht="12.75">
      <c r="A11" s="339"/>
      <c r="B11" s="340"/>
      <c r="C11" s="340" t="s">
        <v>147</v>
      </c>
      <c r="D11" s="316"/>
      <c r="E11" s="334">
        <v>2</v>
      </c>
      <c r="F11" s="341"/>
      <c r="G11" s="341"/>
      <c r="H11" s="341"/>
      <c r="I11" s="341"/>
      <c r="J11" s="336">
        <f>[2]!CSP1013P100F2100</f>
        <v>0</v>
      </c>
      <c r="K11" s="337">
        <f>SUM(F11:I11)</f>
        <v>0</v>
      </c>
      <c r="L11" s="338">
        <v>2</v>
      </c>
    </row>
    <row r="12" spans="1:12" ht="12.75">
      <c r="A12" s="339"/>
      <c r="B12" s="340"/>
      <c r="C12" s="340" t="s">
        <v>242</v>
      </c>
      <c r="D12" s="316"/>
      <c r="E12" s="334">
        <v>3</v>
      </c>
      <c r="F12" s="341"/>
      <c r="G12" s="341"/>
      <c r="H12" s="341"/>
      <c r="I12" s="341"/>
      <c r="J12" s="342">
        <f>[2]!CSP1013P100F2200</f>
        <v>0</v>
      </c>
      <c r="K12" s="337">
        <f>SUM(F12:I12)</f>
        <v>0</v>
      </c>
      <c r="L12" s="338">
        <v>3</v>
      </c>
    </row>
    <row r="13" spans="1:12" s="346" customFormat="1" ht="12.75">
      <c r="A13" s="339"/>
      <c r="B13" s="343" t="s">
        <v>148</v>
      </c>
      <c r="C13" s="343"/>
      <c r="D13" s="343"/>
      <c r="E13" s="344">
        <v>4</v>
      </c>
      <c r="F13" s="336">
        <f aca="true" t="shared" si="0" ref="F13:K13">SUM(F8:F12)</f>
        <v>0</v>
      </c>
      <c r="G13" s="336">
        <f t="shared" si="0"/>
        <v>0</v>
      </c>
      <c r="H13" s="336">
        <f t="shared" si="0"/>
        <v>0</v>
      </c>
      <c r="I13" s="336">
        <f t="shared" si="0"/>
        <v>0</v>
      </c>
      <c r="J13" s="336">
        <f t="shared" si="0"/>
        <v>49733</v>
      </c>
      <c r="K13" s="336">
        <f t="shared" si="0"/>
        <v>0</v>
      </c>
      <c r="L13" s="345">
        <v>4</v>
      </c>
    </row>
    <row r="14" spans="1:12" ht="12.75">
      <c r="A14" s="317"/>
      <c r="B14" s="340" t="s">
        <v>42</v>
      </c>
      <c r="C14" s="340"/>
      <c r="D14" s="316"/>
      <c r="E14" s="334"/>
      <c r="F14" s="347"/>
      <c r="G14" s="347"/>
      <c r="H14" s="347"/>
      <c r="I14" s="347"/>
      <c r="J14" s="604">
        <f>[2]!CSP1013P200F1000</f>
        <v>0</v>
      </c>
      <c r="K14" s="609">
        <f>SUM(F15:I15)</f>
        <v>0</v>
      </c>
      <c r="L14" s="338"/>
    </row>
    <row r="15" spans="1:12" ht="12.75">
      <c r="A15" s="339"/>
      <c r="B15" s="340"/>
      <c r="C15" s="340" t="s">
        <v>201</v>
      </c>
      <c r="D15" s="316"/>
      <c r="E15" s="334">
        <v>5</v>
      </c>
      <c r="F15" s="348"/>
      <c r="G15" s="348"/>
      <c r="H15" s="348"/>
      <c r="I15" s="348"/>
      <c r="J15" s="606"/>
      <c r="K15" s="611"/>
      <c r="L15" s="338">
        <v>5</v>
      </c>
    </row>
    <row r="16" spans="1:12" ht="12.75">
      <c r="A16" s="339"/>
      <c r="B16" s="340"/>
      <c r="C16" s="340" t="s">
        <v>147</v>
      </c>
      <c r="D16" s="316"/>
      <c r="E16" s="349">
        <v>6</v>
      </c>
      <c r="F16" s="341"/>
      <c r="G16" s="341"/>
      <c r="H16" s="341"/>
      <c r="I16" s="341"/>
      <c r="J16" s="342">
        <f>[2]!CSP1013P200F2100</f>
        <v>0</v>
      </c>
      <c r="K16" s="337">
        <f>SUM(F16:I16)</f>
        <v>0</v>
      </c>
      <c r="L16" s="338">
        <v>6</v>
      </c>
    </row>
    <row r="17" spans="1:12" ht="12.75">
      <c r="A17" s="339"/>
      <c r="B17" s="340"/>
      <c r="C17" s="340" t="s">
        <v>242</v>
      </c>
      <c r="D17" s="316"/>
      <c r="E17" s="349">
        <v>7</v>
      </c>
      <c r="F17" s="341"/>
      <c r="G17" s="341"/>
      <c r="H17" s="341"/>
      <c r="I17" s="341"/>
      <c r="J17" s="342">
        <f>[2]!CSP1013P200F2200</f>
        <v>0</v>
      </c>
      <c r="K17" s="337">
        <f>SUM(F17:I17)</f>
        <v>0</v>
      </c>
      <c r="L17" s="338">
        <v>7</v>
      </c>
    </row>
    <row r="18" spans="1:12" s="346" customFormat="1" ht="12.75">
      <c r="A18" s="339"/>
      <c r="B18" s="343" t="s">
        <v>149</v>
      </c>
      <c r="C18" s="343"/>
      <c r="D18" s="343"/>
      <c r="E18" s="344">
        <v>8</v>
      </c>
      <c r="F18" s="336">
        <f>SUM(F14:F17)</f>
        <v>0</v>
      </c>
      <c r="G18" s="336">
        <f>SUM(G14:G17)</f>
        <v>0</v>
      </c>
      <c r="H18" s="336">
        <f>SUM(H14:H17)</f>
        <v>0</v>
      </c>
      <c r="I18" s="336">
        <f>SUM(I14:I17)</f>
        <v>0</v>
      </c>
      <c r="J18" s="336">
        <f>SUM(J14:J17)</f>
        <v>0</v>
      </c>
      <c r="K18" s="336">
        <f>SUM(F18:I18)</f>
        <v>0</v>
      </c>
      <c r="L18" s="345">
        <v>8</v>
      </c>
    </row>
    <row r="19" spans="1:12" ht="12.75">
      <c r="A19" s="350"/>
      <c r="B19" s="318" t="s">
        <v>49</v>
      </c>
      <c r="C19" s="318"/>
      <c r="D19" s="318"/>
      <c r="E19" s="612">
        <v>9</v>
      </c>
      <c r="F19" s="347"/>
      <c r="G19" s="347"/>
      <c r="H19" s="347"/>
      <c r="I19" s="347"/>
      <c r="J19" s="623">
        <f>[2]!CSP1013P530F1000</f>
        <v>0</v>
      </c>
      <c r="K19" s="607">
        <f>SUM(F20:I20)</f>
        <v>0</v>
      </c>
      <c r="L19" s="338"/>
    </row>
    <row r="20" spans="1:12" ht="12.75">
      <c r="A20" s="332"/>
      <c r="B20" s="325"/>
      <c r="C20" s="325" t="s">
        <v>201</v>
      </c>
      <c r="D20" s="325"/>
      <c r="E20" s="613"/>
      <c r="F20" s="348"/>
      <c r="G20" s="348"/>
      <c r="H20" s="348"/>
      <c r="I20" s="348"/>
      <c r="J20" s="624"/>
      <c r="K20" s="608"/>
      <c r="L20" s="338">
        <v>9</v>
      </c>
    </row>
    <row r="21" spans="1:12" ht="12.75">
      <c r="A21" s="350"/>
      <c r="B21" s="316" t="s">
        <v>164</v>
      </c>
      <c r="C21" s="316"/>
      <c r="D21" s="353"/>
      <c r="E21" s="354"/>
      <c r="F21" s="347"/>
      <c r="G21" s="347"/>
      <c r="H21" s="347"/>
      <c r="I21" s="347"/>
      <c r="J21" s="623">
        <f>[2]!CSP1013POtherF1000</f>
        <v>0</v>
      </c>
      <c r="K21" s="607">
        <f>SUM(F22:I22)</f>
        <v>33989</v>
      </c>
      <c r="L21" s="338"/>
    </row>
    <row r="22" spans="1:12" ht="12.75">
      <c r="A22" s="332"/>
      <c r="B22" s="316"/>
      <c r="C22" s="316" t="s">
        <v>201</v>
      </c>
      <c r="D22" s="316"/>
      <c r="E22" s="349">
        <v>10</v>
      </c>
      <c r="F22" s="348"/>
      <c r="G22" s="348"/>
      <c r="H22" s="348">
        <v>33989</v>
      </c>
      <c r="I22" s="348"/>
      <c r="J22" s="624"/>
      <c r="K22" s="608"/>
      <c r="L22" s="338">
        <v>10</v>
      </c>
    </row>
    <row r="23" spans="1:12" ht="12.75">
      <c r="A23" s="332"/>
      <c r="B23" s="316"/>
      <c r="C23" s="316" t="s">
        <v>255</v>
      </c>
      <c r="D23" s="316"/>
      <c r="E23" s="349">
        <v>11</v>
      </c>
      <c r="F23" s="355"/>
      <c r="G23" s="356"/>
      <c r="H23" s="356"/>
      <c r="I23" s="356"/>
      <c r="J23" s="342">
        <f>[2]!CSP1013POtherF21002200</f>
        <v>0</v>
      </c>
      <c r="K23" s="352">
        <f>SUM(F23:I23)</f>
        <v>0</v>
      </c>
      <c r="L23" s="338">
        <v>11</v>
      </c>
    </row>
    <row r="24" spans="1:12" s="346" customFormat="1" ht="12.75">
      <c r="A24" s="357"/>
      <c r="B24" s="343" t="s">
        <v>184</v>
      </c>
      <c r="C24" s="343"/>
      <c r="D24" s="343"/>
      <c r="E24" s="358">
        <v>12</v>
      </c>
      <c r="F24" s="359">
        <f>SUM(F21:F23)</f>
        <v>0</v>
      </c>
      <c r="G24" s="359">
        <f>SUM(G21:G23)</f>
        <v>0</v>
      </c>
      <c r="H24" s="359">
        <f>SUM(H21:H23)</f>
        <v>33989</v>
      </c>
      <c r="I24" s="359">
        <f>SUM(I21:I23)</f>
        <v>0</v>
      </c>
      <c r="J24" s="336">
        <f>SUM(J21:J23)</f>
        <v>0</v>
      </c>
      <c r="K24" s="351">
        <f>SUM(F24:I24)</f>
        <v>33989</v>
      </c>
      <c r="L24" s="345">
        <v>12</v>
      </c>
    </row>
    <row r="25" spans="1:12" ht="12.75">
      <c r="A25" s="324" t="s">
        <v>185</v>
      </c>
      <c r="B25" s="360"/>
      <c r="C25" s="325"/>
      <c r="D25" s="325"/>
      <c r="E25" s="361">
        <v>13</v>
      </c>
      <c r="F25" s="336">
        <f>+F13+F18+F20+F24</f>
        <v>0</v>
      </c>
      <c r="G25" s="336">
        <f>+G13+G18+G20+G24</f>
        <v>0</v>
      </c>
      <c r="H25" s="336">
        <f>+H13+H18+H20+H24</f>
        <v>33989</v>
      </c>
      <c r="I25" s="336">
        <f>+I13+I18+I20+I24</f>
        <v>0</v>
      </c>
      <c r="J25" s="336">
        <f>J13+J18+J19+J24</f>
        <v>49733</v>
      </c>
      <c r="K25" s="336">
        <f>+K13+K18+K19+K24</f>
        <v>33989</v>
      </c>
      <c r="L25" s="338">
        <v>13</v>
      </c>
    </row>
    <row r="26" spans="1:13" ht="12.75">
      <c r="A26" s="621" t="s">
        <v>206</v>
      </c>
      <c r="B26" s="622"/>
      <c r="C26" s="622"/>
      <c r="D26" s="622"/>
      <c r="E26" s="361">
        <v>14</v>
      </c>
      <c r="F26" s="336">
        <f>CSP1011O6100+CSP1012O6100+CSP1013O6100</f>
        <v>45500</v>
      </c>
      <c r="G26" s="336">
        <f>CSP1011O6200+CSP1012O6200+CSP1013O6200</f>
        <v>5483</v>
      </c>
      <c r="H26" s="336">
        <f>CSP1013O630064006500</f>
        <v>33989</v>
      </c>
      <c r="I26" s="336">
        <f>CSP1013O6600</f>
        <v>0</v>
      </c>
      <c r="J26" s="336">
        <f>CSP1011Budg+CSP1012Budg+CSP1013Budg</f>
        <v>124334</v>
      </c>
      <c r="K26" s="336">
        <f>CSP1011Act+CSP1012Act+CSP1013Act</f>
        <v>84972</v>
      </c>
      <c r="L26" s="345">
        <v>14</v>
      </c>
      <c r="M26" s="314">
        <f>IF(TotalCSPAct&lt;=0,"The School is reporting zero expenditures in the Classroom Site Project.","")</f>
      </c>
    </row>
    <row r="27" spans="1:9" ht="26.25" customHeight="1">
      <c r="A27" s="362"/>
      <c r="B27" s="362"/>
      <c r="C27" s="362"/>
      <c r="D27" s="362"/>
      <c r="E27" s="362"/>
      <c r="F27" s="362"/>
      <c r="G27" s="362"/>
      <c r="H27" s="362"/>
      <c r="I27" s="362"/>
    </row>
    <row r="28" spans="1:12" ht="12.75">
      <c r="A28" s="614" t="s">
        <v>174</v>
      </c>
      <c r="B28" s="615"/>
      <c r="C28" s="615"/>
      <c r="D28" s="615"/>
      <c r="E28" s="616"/>
      <c r="F28" s="363" t="s">
        <v>176</v>
      </c>
      <c r="G28" s="364"/>
      <c r="H28" s="365"/>
      <c r="I28" s="366"/>
      <c r="J28" s="367"/>
      <c r="K28" s="367"/>
      <c r="L28" s="368"/>
    </row>
    <row r="29" spans="1:12" ht="12.75">
      <c r="A29" s="617"/>
      <c r="B29" s="618"/>
      <c r="C29" s="618"/>
      <c r="D29" s="618"/>
      <c r="E29" s="618"/>
      <c r="F29" s="369"/>
      <c r="G29" s="370" t="s">
        <v>344</v>
      </c>
      <c r="H29" s="369"/>
      <c r="I29" s="366"/>
      <c r="J29" s="367"/>
      <c r="K29" s="367"/>
      <c r="L29" s="368"/>
    </row>
    <row r="30" spans="1:12" ht="12.75">
      <c r="A30" s="619"/>
      <c r="B30" s="620"/>
      <c r="C30" s="620"/>
      <c r="D30" s="620"/>
      <c r="E30" s="620"/>
      <c r="F30" s="371" t="s">
        <v>343</v>
      </c>
      <c r="G30" s="372" t="s">
        <v>177</v>
      </c>
      <c r="H30" s="371" t="s">
        <v>345</v>
      </c>
      <c r="I30" s="373"/>
      <c r="J30" s="368"/>
      <c r="K30" s="368"/>
      <c r="L30" s="368"/>
    </row>
    <row r="31" spans="1:12" ht="12.75">
      <c r="A31" s="374" t="s">
        <v>187</v>
      </c>
      <c r="B31" s="375"/>
      <c r="C31" s="375"/>
      <c r="D31" s="375"/>
      <c r="E31" s="376">
        <v>15</v>
      </c>
      <c r="F31" s="377">
        <f>[1]!CSP1011EndBal</f>
        <v>0</v>
      </c>
      <c r="G31" s="377">
        <f>[1]!CSP1012EndBal</f>
        <v>0</v>
      </c>
      <c r="H31" s="377">
        <f>[1]!CSP1013EndBal</f>
        <v>0</v>
      </c>
      <c r="I31" s="378">
        <v>15</v>
      </c>
      <c r="J31" s="367"/>
      <c r="K31" s="379"/>
      <c r="L31" s="379"/>
    </row>
    <row r="32" spans="1:12" ht="12.75">
      <c r="A32" s="380" t="s">
        <v>175</v>
      </c>
      <c r="B32" s="366"/>
      <c r="C32" s="366"/>
      <c r="D32" s="366"/>
      <c r="F32" s="381"/>
      <c r="G32" s="381"/>
      <c r="H32" s="381"/>
      <c r="I32" s="378"/>
      <c r="J32" s="367"/>
      <c r="K32" s="379"/>
      <c r="L32" s="379"/>
    </row>
    <row r="33" spans="1:12" ht="12.75">
      <c r="A33" s="380"/>
      <c r="B33" s="366" t="s">
        <v>179</v>
      </c>
      <c r="C33" s="366"/>
      <c r="D33" s="366"/>
      <c r="E33" s="376">
        <v>16</v>
      </c>
      <c r="F33" s="382">
        <v>16994</v>
      </c>
      <c r="G33" s="382">
        <v>33989</v>
      </c>
      <c r="H33" s="382">
        <v>33989</v>
      </c>
      <c r="I33" s="383">
        <v>16</v>
      </c>
      <c r="J33" s="367"/>
      <c r="K33" s="384"/>
      <c r="L33" s="379"/>
    </row>
    <row r="34" spans="1:9" ht="12.75">
      <c r="A34" s="380"/>
      <c r="B34" s="366" t="s">
        <v>173</v>
      </c>
      <c r="C34" s="366"/>
      <c r="D34" s="366"/>
      <c r="E34" s="376">
        <v>17</v>
      </c>
      <c r="F34" s="385"/>
      <c r="G34" s="385"/>
      <c r="H34" s="385"/>
      <c r="I34" s="383">
        <v>17</v>
      </c>
    </row>
    <row r="35" spans="1:9" ht="12.75">
      <c r="A35" s="380" t="s">
        <v>207</v>
      </c>
      <c r="B35" s="366"/>
      <c r="C35" s="366"/>
      <c r="D35" s="366"/>
      <c r="E35" s="376">
        <v>18</v>
      </c>
      <c r="F35" s="386">
        <f>F33+F34</f>
        <v>16994</v>
      </c>
      <c r="G35" s="386">
        <f>G33+G34</f>
        <v>33989</v>
      </c>
      <c r="H35" s="386">
        <f>H33+H34</f>
        <v>33989</v>
      </c>
      <c r="I35" s="383">
        <v>18</v>
      </c>
    </row>
    <row r="36" spans="1:9" ht="12.75">
      <c r="A36" s="387" t="s">
        <v>208</v>
      </c>
      <c r="B36" s="366"/>
      <c r="C36" s="366"/>
      <c r="D36" s="366"/>
      <c r="E36" s="376">
        <v>19</v>
      </c>
      <c r="F36" s="386">
        <f>F31+F35</f>
        <v>16994</v>
      </c>
      <c r="G36" s="386">
        <f>G31+G35</f>
        <v>33989</v>
      </c>
      <c r="H36" s="386">
        <f>H31+H35</f>
        <v>33989</v>
      </c>
      <c r="I36" s="383">
        <v>19</v>
      </c>
    </row>
    <row r="37" spans="1:9" ht="12.75">
      <c r="A37" s="387" t="s">
        <v>347</v>
      </c>
      <c r="B37" s="366"/>
      <c r="C37" s="366"/>
      <c r="D37" s="366"/>
      <c r="E37" s="376">
        <v>20</v>
      </c>
      <c r="F37" s="386">
        <f>CSP1011Act</f>
        <v>16994</v>
      </c>
      <c r="G37" s="386">
        <f>CSP1012Act</f>
        <v>33989</v>
      </c>
      <c r="H37" s="386">
        <f>CSP1013Act</f>
        <v>33989</v>
      </c>
      <c r="I37" s="383">
        <v>20</v>
      </c>
    </row>
    <row r="38" spans="1:9" ht="12.75">
      <c r="A38" s="388" t="s">
        <v>219</v>
      </c>
      <c r="B38" s="389"/>
      <c r="C38" s="389"/>
      <c r="D38" s="389"/>
      <c r="E38" s="390">
        <v>21</v>
      </c>
      <c r="F38" s="386">
        <f>F36-F37</f>
        <v>0</v>
      </c>
      <c r="G38" s="386">
        <f>G36-G37</f>
        <v>0</v>
      </c>
      <c r="H38" s="386">
        <f>H36-H37</f>
        <v>0</v>
      </c>
      <c r="I38" s="383">
        <v>21</v>
      </c>
    </row>
    <row r="39" spans="1:9" ht="12.75">
      <c r="A39" s="366"/>
      <c r="B39" s="366"/>
      <c r="C39" s="366"/>
      <c r="D39" s="366"/>
      <c r="E39" s="366"/>
      <c r="F39" s="362"/>
      <c r="G39" s="362"/>
      <c r="H39" s="362"/>
      <c r="I39" s="362"/>
    </row>
    <row r="40" spans="1:9" ht="12.75">
      <c r="A40" s="366"/>
      <c r="B40" s="366"/>
      <c r="C40" s="366"/>
      <c r="D40" s="366"/>
      <c r="E40" s="366"/>
      <c r="F40" s="362"/>
      <c r="G40" s="362"/>
      <c r="H40" s="362"/>
      <c r="I40" s="362"/>
    </row>
  </sheetData>
  <sheetProtection formatCells="0" formatColumns="0" formatRows="0"/>
  <mergeCells count="16">
    <mergeCell ref="K21:K22"/>
    <mergeCell ref="K8:K10"/>
    <mergeCell ref="E19:E20"/>
    <mergeCell ref="J14:J15"/>
    <mergeCell ref="K14:K15"/>
    <mergeCell ref="A28:E30"/>
    <mergeCell ref="A26:D26"/>
    <mergeCell ref="J19:J20"/>
    <mergeCell ref="K19:K20"/>
    <mergeCell ref="J21:J22"/>
    <mergeCell ref="A4:K4"/>
    <mergeCell ref="D1:E1"/>
    <mergeCell ref="H5:H7"/>
    <mergeCell ref="J5:K5"/>
    <mergeCell ref="K1:L1"/>
    <mergeCell ref="J8:J10"/>
  </mergeCells>
  <printOptions horizontalCentered="1"/>
  <pageMargins left="1" right="0.25" top="0.5" bottom="0.25" header="0.5" footer="0.15"/>
  <pageSetup fitToHeight="1" fitToWidth="1" horizontalDpi="600" verticalDpi="600" orientation="landscape" scale="84" r:id="rId1"/>
  <headerFooter>
    <oddFooter>&amp;LRev. 8/17&amp;CFY 2017&amp;RPage 4 of 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F10" sqref="F10"/>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59" t="s">
        <v>0</v>
      </c>
      <c r="B1" s="60"/>
      <c r="C1" s="627" t="str">
        <f>'Cover Page'!D1</f>
        <v>NORTH STAR CHARTER SCHOOL, INC.</v>
      </c>
      <c r="D1" s="627"/>
      <c r="F1" s="65"/>
      <c r="G1" s="64" t="s">
        <v>141</v>
      </c>
      <c r="H1" s="627" t="str">
        <f>'Cover Page'!M1</f>
        <v>MARICOPA</v>
      </c>
      <c r="I1" s="627"/>
      <c r="J1" s="65"/>
      <c r="K1" s="64"/>
      <c r="L1" s="64" t="s">
        <v>138</v>
      </c>
      <c r="M1" s="66" t="str">
        <f>'Cover Page'!R1</f>
        <v>078945000</v>
      </c>
    </row>
    <row r="2" spans="1:12" ht="12.75" customHeight="1">
      <c r="A2" s="65"/>
      <c r="B2" s="65"/>
      <c r="C2" s="65"/>
      <c r="D2" s="65"/>
      <c r="E2" s="65"/>
      <c r="F2" s="65"/>
      <c r="G2" s="65"/>
      <c r="H2" s="65"/>
      <c r="I2" s="65"/>
      <c r="J2" s="65"/>
      <c r="K2" s="68"/>
      <c r="L2" s="68"/>
    </row>
    <row r="3" spans="1:12" ht="12.75" customHeight="1">
      <c r="A3" s="106"/>
      <c r="B3" s="107"/>
      <c r="C3" s="107"/>
      <c r="D3" s="107"/>
      <c r="E3" s="107"/>
      <c r="F3" s="226" t="s">
        <v>3</v>
      </c>
      <c r="G3" s="108" t="s">
        <v>190</v>
      </c>
      <c r="H3" s="590" t="s">
        <v>143</v>
      </c>
      <c r="I3" s="591"/>
      <c r="J3" s="65"/>
      <c r="K3" s="60"/>
      <c r="L3" s="60"/>
    </row>
    <row r="4" spans="1:12" ht="12.75" customHeight="1">
      <c r="A4" s="74" t="s">
        <v>113</v>
      </c>
      <c r="B4" s="68"/>
      <c r="C4" s="68"/>
      <c r="D4" s="68"/>
      <c r="E4" s="68"/>
      <c r="F4" s="77" t="s">
        <v>188</v>
      </c>
      <c r="G4" s="76" t="s">
        <v>189</v>
      </c>
      <c r="H4" s="108"/>
      <c r="I4" s="139"/>
      <c r="J4" s="65"/>
      <c r="K4" s="60"/>
      <c r="L4" s="60"/>
    </row>
    <row r="5" spans="1:11" ht="12.75" customHeight="1">
      <c r="A5" s="78"/>
      <c r="B5" s="79"/>
      <c r="C5" s="79"/>
      <c r="D5" s="79"/>
      <c r="E5" s="79"/>
      <c r="F5" s="82">
        <v>1000</v>
      </c>
      <c r="G5" s="81">
        <v>2000</v>
      </c>
      <c r="H5" s="81" t="s">
        <v>162</v>
      </c>
      <c r="I5" s="140" t="s">
        <v>163</v>
      </c>
      <c r="J5" s="65"/>
      <c r="K5" s="60"/>
    </row>
    <row r="6" spans="1:11" ht="12.75" customHeight="1">
      <c r="A6" s="131" t="s">
        <v>186</v>
      </c>
      <c r="B6" s="107"/>
      <c r="C6" s="107"/>
      <c r="D6" s="107"/>
      <c r="E6" s="132"/>
      <c r="F6" s="252"/>
      <c r="G6" s="252"/>
      <c r="H6" s="625">
        <f>[2]!IIPTeacherCompensationIncreases</f>
        <v>0</v>
      </c>
      <c r="I6" s="625">
        <f>SUM(F7:G7)</f>
        <v>0</v>
      </c>
      <c r="J6" s="268"/>
      <c r="K6" s="60"/>
    </row>
    <row r="7" spans="1:11" ht="12.75" customHeight="1">
      <c r="A7" s="84"/>
      <c r="B7" s="68" t="s">
        <v>191</v>
      </c>
      <c r="C7" s="68"/>
      <c r="D7" s="68"/>
      <c r="E7" s="113">
        <v>1</v>
      </c>
      <c r="F7" s="259" t="s">
        <v>3</v>
      </c>
      <c r="G7" s="259"/>
      <c r="H7" s="626"/>
      <c r="I7" s="626"/>
      <c r="J7" s="130">
        <v>1</v>
      </c>
      <c r="K7" s="68"/>
    </row>
    <row r="8" spans="1:11" ht="12.75" customHeight="1">
      <c r="A8" s="84"/>
      <c r="B8" s="68" t="s">
        <v>192</v>
      </c>
      <c r="C8" s="68"/>
      <c r="D8" s="68"/>
      <c r="E8" s="113">
        <v>2</v>
      </c>
      <c r="F8" s="227"/>
      <c r="G8" s="271"/>
      <c r="H8" s="112">
        <f>[2]!IIPClassSizeReduction</f>
        <v>0</v>
      </c>
      <c r="I8" s="109">
        <f>SUM(F8:G8)</f>
        <v>0</v>
      </c>
      <c r="J8" s="130">
        <v>2</v>
      </c>
      <c r="K8" s="68"/>
    </row>
    <row r="9" spans="1:11" ht="12.75" customHeight="1">
      <c r="A9" s="84"/>
      <c r="B9" s="68" t="s">
        <v>310</v>
      </c>
      <c r="C9" s="68"/>
      <c r="D9" s="68"/>
      <c r="E9" s="113">
        <v>3</v>
      </c>
      <c r="F9" s="227">
        <v>10326</v>
      </c>
      <c r="G9" s="138"/>
      <c r="H9" s="112">
        <f>[2]!IIPDropoutPreventionPrograms</f>
        <v>0</v>
      </c>
      <c r="I9" s="109">
        <f>SUM(F9:G9)</f>
        <v>10326</v>
      </c>
      <c r="J9" s="130">
        <v>3</v>
      </c>
      <c r="K9" s="68"/>
    </row>
    <row r="10" spans="1:11" ht="12.75" customHeight="1">
      <c r="A10" s="84"/>
      <c r="B10" s="68" t="s">
        <v>311</v>
      </c>
      <c r="C10" s="68"/>
      <c r="D10" s="68"/>
      <c r="E10" s="113">
        <v>4</v>
      </c>
      <c r="F10" s="227"/>
      <c r="G10" s="138"/>
      <c r="H10" s="112">
        <f>[2]!IIPInstructionalImprovementPrograms</f>
        <v>0</v>
      </c>
      <c r="I10" s="109">
        <f>SUM(F10:G10)</f>
        <v>0</v>
      </c>
      <c r="J10" s="130">
        <v>4</v>
      </c>
      <c r="K10" s="68"/>
    </row>
    <row r="11" spans="1:11" ht="12.75" customHeight="1">
      <c r="A11" s="78" t="s">
        <v>304</v>
      </c>
      <c r="B11" s="7"/>
      <c r="C11" s="79"/>
      <c r="D11" s="79"/>
      <c r="E11" s="111">
        <v>5</v>
      </c>
      <c r="F11" s="228">
        <f>SUM(F6:F10)</f>
        <v>10326</v>
      </c>
      <c r="G11" s="109">
        <f>SUM(G6:G10)</f>
        <v>0</v>
      </c>
      <c r="H11" s="109">
        <f>SUM(H6:H10)</f>
        <v>0</v>
      </c>
      <c r="I11" s="109">
        <f>SUM(I6:I10)</f>
        <v>10326</v>
      </c>
      <c r="J11" s="130">
        <v>5</v>
      </c>
      <c r="K11" s="68"/>
    </row>
    <row r="12" spans="1:12" ht="12.75" customHeight="1">
      <c r="A12" s="115"/>
      <c r="B12" s="115"/>
      <c r="C12" s="115"/>
      <c r="D12" s="115"/>
      <c r="E12" s="115"/>
      <c r="F12" s="115"/>
      <c r="G12" s="115"/>
      <c r="H12" s="115"/>
      <c r="I12" s="115"/>
      <c r="J12" s="115"/>
      <c r="K12" s="62"/>
      <c r="L12" s="60"/>
    </row>
    <row r="13" spans="1:11" ht="12.75" customHeight="1">
      <c r="A13" s="117"/>
      <c r="B13" s="118"/>
      <c r="C13" s="118"/>
      <c r="D13" s="118"/>
      <c r="E13" s="142"/>
      <c r="F13" s="143"/>
      <c r="G13" s="115"/>
      <c r="H13" s="115"/>
      <c r="K13" s="60"/>
    </row>
    <row r="14" spans="1:11" ht="12.75" customHeight="1">
      <c r="A14" s="55" t="s">
        <v>205</v>
      </c>
      <c r="B14" s="114"/>
      <c r="C14" s="114"/>
      <c r="D14" s="114"/>
      <c r="E14" s="233"/>
      <c r="F14" s="229" t="s">
        <v>163</v>
      </c>
      <c r="G14" s="115"/>
      <c r="H14" s="115"/>
      <c r="K14" s="60"/>
    </row>
    <row r="15" spans="1:10" ht="12.75" customHeight="1">
      <c r="A15" s="224" t="s">
        <v>187</v>
      </c>
      <c r="B15" s="20"/>
      <c r="C15" s="2"/>
      <c r="D15" s="133"/>
      <c r="E15" s="157">
        <v>6</v>
      </c>
      <c r="F15" s="249">
        <f>[1]!AddlInstrImprProjEndBal</f>
        <v>0</v>
      </c>
      <c r="G15" s="130">
        <v>6</v>
      </c>
      <c r="I15" s="110"/>
      <c r="J15" s="110"/>
    </row>
    <row r="16" spans="1:10" ht="12.75" customHeight="1">
      <c r="A16" s="135" t="s">
        <v>175</v>
      </c>
      <c r="B16" s="40"/>
      <c r="C16" s="2"/>
      <c r="D16" s="133"/>
      <c r="E16" s="157">
        <v>7</v>
      </c>
      <c r="F16" s="230">
        <v>10326</v>
      </c>
      <c r="G16" s="130">
        <v>7</v>
      </c>
      <c r="I16" s="110"/>
      <c r="J16" s="110"/>
    </row>
    <row r="17" spans="1:10" ht="12.75" customHeight="1">
      <c r="A17" s="135" t="s">
        <v>193</v>
      </c>
      <c r="B17" s="40"/>
      <c r="C17" s="2"/>
      <c r="D17" s="133"/>
      <c r="E17" s="157">
        <v>8</v>
      </c>
      <c r="F17" s="231">
        <f>SUM(F15:F16)</f>
        <v>10326</v>
      </c>
      <c r="G17" s="130">
        <v>8</v>
      </c>
      <c r="I17" s="110"/>
      <c r="J17" s="110"/>
    </row>
    <row r="18" spans="1:10" ht="12.75" customHeight="1">
      <c r="A18" s="136" t="s">
        <v>289</v>
      </c>
      <c r="B18" s="2"/>
      <c r="C18" s="2"/>
      <c r="D18" s="133"/>
      <c r="E18" s="157">
        <v>9</v>
      </c>
      <c r="F18" s="232">
        <f>ActualTotalInstImpExp</f>
        <v>10326</v>
      </c>
      <c r="G18" s="130">
        <v>9</v>
      </c>
      <c r="I18" s="110"/>
      <c r="J18" s="110"/>
    </row>
    <row r="19" spans="1:7" ht="12.75" customHeight="1">
      <c r="A19" s="137" t="s">
        <v>194</v>
      </c>
      <c r="B19" s="114"/>
      <c r="C19" s="7"/>
      <c r="D19" s="134"/>
      <c r="E19" s="158">
        <v>10</v>
      </c>
      <c r="F19" s="232">
        <f>F17-F18</f>
        <v>0</v>
      </c>
      <c r="G19" s="130">
        <v>10</v>
      </c>
    </row>
    <row r="20" spans="1:8" ht="12.75" customHeight="1">
      <c r="A20" s="198"/>
      <c r="B20" s="34"/>
      <c r="C20" s="2"/>
      <c r="D20" s="133"/>
      <c r="E20" s="157"/>
      <c r="F20" s="199"/>
      <c r="G20" s="199"/>
      <c r="H20" s="130"/>
    </row>
    <row r="21" spans="1:8" ht="12.75" customHeight="1">
      <c r="A21" s="198"/>
      <c r="B21" s="34"/>
      <c r="C21" s="2"/>
      <c r="D21" s="133"/>
      <c r="E21" s="157"/>
      <c r="F21" s="199"/>
      <c r="G21" s="199"/>
      <c r="H21" s="130"/>
    </row>
    <row r="22" spans="1:8" ht="12.75" customHeight="1">
      <c r="A22" s="198"/>
      <c r="B22" s="34"/>
      <c r="C22" s="2"/>
      <c r="D22" s="133"/>
      <c r="E22" s="157"/>
      <c r="F22" s="199"/>
      <c r="G22" s="199"/>
      <c r="H22" s="130"/>
    </row>
    <row r="23" spans="1:8" ht="12.75" customHeight="1">
      <c r="A23" s="198"/>
      <c r="B23" s="34"/>
      <c r="C23" s="2"/>
      <c r="D23" s="133"/>
      <c r="E23" s="157"/>
      <c r="F23" s="199"/>
      <c r="G23" s="199"/>
      <c r="H23" s="130"/>
    </row>
    <row r="24" spans="1:8" ht="12.75" customHeight="1">
      <c r="A24" s="198"/>
      <c r="B24" s="34"/>
      <c r="C24" s="2"/>
      <c r="D24" s="133"/>
      <c r="E24" s="157"/>
      <c r="F24" s="199"/>
      <c r="G24" s="199"/>
      <c r="H24" s="130"/>
    </row>
    <row r="25" spans="1:8" ht="12.75" customHeight="1">
      <c r="A25" s="198"/>
      <c r="B25" s="34"/>
      <c r="C25" s="2"/>
      <c r="D25" s="133"/>
      <c r="E25" s="157"/>
      <c r="F25" s="199"/>
      <c r="G25" s="199"/>
      <c r="H25" s="130"/>
    </row>
    <row r="26" spans="1:8" ht="12.75" customHeight="1">
      <c r="A26" s="198"/>
      <c r="B26" s="34"/>
      <c r="C26" s="2"/>
      <c r="D26" s="133"/>
      <c r="E26" s="157"/>
      <c r="F26" s="199"/>
      <c r="G26" s="199"/>
      <c r="H26" s="130"/>
    </row>
    <row r="27" spans="1:12" ht="12.75" customHeight="1">
      <c r="A27" s="2"/>
      <c r="B27" s="2"/>
      <c r="C27" s="34"/>
      <c r="D27" s="34"/>
      <c r="E27" s="34"/>
      <c r="F27" s="116"/>
      <c r="G27" s="116"/>
      <c r="H27" s="116"/>
      <c r="I27" s="116"/>
      <c r="J27" s="116"/>
      <c r="K27" s="116"/>
      <c r="L27" s="116"/>
    </row>
    <row r="28" spans="1:12" ht="12.75" customHeight="1">
      <c r="A28" s="34"/>
      <c r="B28" s="2"/>
      <c r="C28" s="2"/>
      <c r="D28" s="34"/>
      <c r="E28" s="34"/>
      <c r="F28" s="243"/>
      <c r="G28" s="243"/>
      <c r="H28" s="243"/>
      <c r="I28" s="243"/>
      <c r="J28" s="243"/>
      <c r="K28" s="244"/>
      <c r="L28" s="241"/>
    </row>
    <row r="29" spans="1:12" ht="11.25" customHeight="1">
      <c r="A29" s="235"/>
      <c r="B29" s="2"/>
      <c r="C29" s="152"/>
      <c r="D29" s="116"/>
      <c r="E29" s="152"/>
      <c r="F29" s="236"/>
      <c r="G29" s="236"/>
      <c r="H29" s="2"/>
      <c r="I29" s="2"/>
      <c r="J29" s="2"/>
      <c r="K29" s="2"/>
      <c r="L29" s="2"/>
    </row>
    <row r="30" spans="1:12" ht="11.25" customHeight="1">
      <c r="A30" s="237"/>
      <c r="B30" s="223"/>
      <c r="C30" s="223"/>
      <c r="D30" s="225"/>
      <c r="E30" s="223"/>
      <c r="F30" s="245"/>
      <c r="G30" s="246"/>
      <c r="H30" s="238"/>
      <c r="I30" s="2"/>
      <c r="J30" s="2"/>
      <c r="K30" s="2"/>
      <c r="L30" s="2"/>
    </row>
    <row r="31" spans="1:12" ht="11.25" customHeight="1">
      <c r="A31" s="237"/>
      <c r="B31" s="223"/>
      <c r="C31" s="223"/>
      <c r="D31" s="225"/>
      <c r="E31" s="223"/>
      <c r="F31" s="245"/>
      <c r="G31" s="246"/>
      <c r="H31" s="238"/>
      <c r="I31" s="2"/>
      <c r="J31" s="2"/>
      <c r="K31" s="2"/>
      <c r="L31" s="2"/>
    </row>
    <row r="32" spans="1:12" ht="11.25" customHeight="1">
      <c r="A32" s="237"/>
      <c r="B32" s="223"/>
      <c r="C32" s="223"/>
      <c r="D32" s="225"/>
      <c r="E32" s="223"/>
      <c r="F32" s="245"/>
      <c r="G32" s="246"/>
      <c r="H32" s="238"/>
      <c r="I32" s="2"/>
      <c r="J32" s="2"/>
      <c r="K32" s="2"/>
      <c r="L32" s="2"/>
    </row>
    <row r="33" spans="1:12" ht="11.25" customHeight="1">
      <c r="A33" s="237"/>
      <c r="B33" s="223"/>
      <c r="C33" s="223"/>
      <c r="D33" s="225"/>
      <c r="E33" s="223"/>
      <c r="F33" s="245"/>
      <c r="G33" s="246"/>
      <c r="H33" s="238"/>
      <c r="I33" s="2"/>
      <c r="J33" s="2"/>
      <c r="K33" s="2"/>
      <c r="L33" s="2"/>
    </row>
    <row r="34" spans="1:12" ht="11.25" customHeight="1">
      <c r="A34" s="237"/>
      <c r="B34" s="223"/>
      <c r="C34" s="223"/>
      <c r="D34" s="225"/>
      <c r="E34" s="223"/>
      <c r="F34" s="245"/>
      <c r="G34" s="246"/>
      <c r="H34" s="238"/>
      <c r="I34" s="2"/>
      <c r="J34" s="2"/>
      <c r="K34" s="2"/>
      <c r="L34" s="2"/>
    </row>
    <row r="35" spans="1:12" ht="11.25" customHeight="1">
      <c r="A35" s="237"/>
      <c r="B35" s="34"/>
      <c r="C35" s="34"/>
      <c r="D35" s="239"/>
      <c r="E35" s="34"/>
      <c r="F35" s="240"/>
      <c r="G35" s="240"/>
      <c r="H35" s="234"/>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1" right="0.5" top="0.5" bottom="0.5" header="0.5" footer="0.15"/>
  <pageSetup fitToHeight="1" fitToWidth="1" horizontalDpi="300" verticalDpi="300" orientation="landscape" scale="79" r:id="rId1"/>
  <headerFooter>
    <oddFooter>&amp;LRev. 8/17&amp;CFY 2017&amp;RPage 5 of 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A23" sqref="A23"/>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197" t="s">
        <v>0</v>
      </c>
      <c r="B1" s="34"/>
      <c r="C1" s="34"/>
      <c r="D1" s="645" t="str">
        <f>'Cover Page'!D1</f>
        <v>NORTH STAR CHARTER SCHOOL, INC.</v>
      </c>
      <c r="E1" s="645"/>
      <c r="F1" s="116"/>
      <c r="G1" s="116"/>
      <c r="H1" s="34"/>
      <c r="I1" s="58" t="s">
        <v>141</v>
      </c>
      <c r="J1" s="645" t="str">
        <f>'Cover Page'!M1</f>
        <v>MARICOPA</v>
      </c>
      <c r="K1" s="645"/>
      <c r="L1" s="34"/>
      <c r="M1" s="58" t="s">
        <v>138</v>
      </c>
      <c r="N1" s="58"/>
      <c r="O1" s="169" t="str">
        <f>'Cover Page'!R1</f>
        <v>078945000</v>
      </c>
      <c r="P1" s="34"/>
    </row>
    <row r="2" spans="1:16" ht="12" customHeight="1">
      <c r="A2" s="165"/>
      <c r="B2" s="165"/>
      <c r="C2" s="165"/>
      <c r="D2" s="165"/>
      <c r="E2" s="165"/>
      <c r="F2" s="165"/>
      <c r="G2" s="165"/>
      <c r="H2" s="165"/>
      <c r="I2" s="165"/>
      <c r="J2" s="165"/>
      <c r="K2" s="34"/>
      <c r="L2" s="34"/>
      <c r="M2" s="34"/>
      <c r="N2" s="34"/>
      <c r="O2" s="34"/>
      <c r="P2" s="34"/>
    </row>
    <row r="3" spans="1:16" ht="12" customHeight="1">
      <c r="A3" s="141"/>
      <c r="B3" s="118"/>
      <c r="C3" s="118"/>
      <c r="D3" s="118"/>
      <c r="E3" s="142"/>
      <c r="F3" s="242" t="s">
        <v>282</v>
      </c>
      <c r="G3" s="142"/>
      <c r="H3" s="125"/>
      <c r="I3" s="221" t="s">
        <v>199</v>
      </c>
      <c r="J3" s="125" t="s">
        <v>198</v>
      </c>
      <c r="K3" s="142"/>
      <c r="L3" s="143"/>
      <c r="M3" s="654" t="s">
        <v>275</v>
      </c>
      <c r="N3" s="655"/>
      <c r="O3" s="27" t="s">
        <v>272</v>
      </c>
      <c r="P3" s="34"/>
    </row>
    <row r="4" spans="1:16" ht="12" customHeight="1">
      <c r="A4" s="144" t="s">
        <v>278</v>
      </c>
      <c r="B4" s="34"/>
      <c r="C4" s="34"/>
      <c r="D4" s="34"/>
      <c r="E4" s="145"/>
      <c r="F4" s="146" t="s">
        <v>273</v>
      </c>
      <c r="G4" s="194" t="s">
        <v>163</v>
      </c>
      <c r="H4" s="146" t="s">
        <v>144</v>
      </c>
      <c r="I4" s="192" t="s">
        <v>145</v>
      </c>
      <c r="J4" s="146" t="s">
        <v>189</v>
      </c>
      <c r="K4" s="194" t="s">
        <v>159</v>
      </c>
      <c r="L4" s="146" t="s">
        <v>200</v>
      </c>
      <c r="M4" s="147"/>
      <c r="N4" s="34"/>
      <c r="O4" s="146" t="s">
        <v>273</v>
      </c>
      <c r="P4" s="34"/>
    </row>
    <row r="5" spans="1:16" ht="12" customHeight="1">
      <c r="A5" s="200"/>
      <c r="B5" s="114"/>
      <c r="C5" s="114"/>
      <c r="D5" s="114"/>
      <c r="E5" s="148"/>
      <c r="F5" s="208" t="s">
        <v>274</v>
      </c>
      <c r="G5" s="203" t="s">
        <v>175</v>
      </c>
      <c r="H5" s="149">
        <v>6100</v>
      </c>
      <c r="I5" s="193">
        <v>6200</v>
      </c>
      <c r="J5" s="149" t="s">
        <v>34</v>
      </c>
      <c r="K5" s="195">
        <v>6600</v>
      </c>
      <c r="L5" s="149">
        <v>6800</v>
      </c>
      <c r="M5" s="204" t="s">
        <v>162</v>
      </c>
      <c r="N5" s="209" t="s">
        <v>163</v>
      </c>
      <c r="O5" s="208" t="s">
        <v>274</v>
      </c>
      <c r="P5" s="34"/>
    </row>
    <row r="6" spans="1:16" ht="11.25" customHeight="1">
      <c r="A6" s="179" t="s">
        <v>245</v>
      </c>
      <c r="B6" s="180"/>
      <c r="C6" s="180"/>
      <c r="D6" s="180"/>
      <c r="F6" s="639"/>
      <c r="G6" s="639"/>
      <c r="H6" s="652"/>
      <c r="I6" s="652"/>
      <c r="J6" s="652"/>
      <c r="K6" s="652"/>
      <c r="L6" s="652"/>
      <c r="M6" s="639"/>
      <c r="N6" s="206"/>
      <c r="O6" s="639"/>
      <c r="P6" s="34"/>
    </row>
    <row r="7" spans="1:16" ht="11.25" customHeight="1">
      <c r="A7" s="201" t="s">
        <v>175</v>
      </c>
      <c r="B7" s="152"/>
      <c r="C7" s="152"/>
      <c r="D7" s="152"/>
      <c r="E7" s="151"/>
      <c r="F7" s="640"/>
      <c r="G7" s="640"/>
      <c r="H7" s="653"/>
      <c r="I7" s="653"/>
      <c r="J7" s="653"/>
      <c r="K7" s="653"/>
      <c r="L7" s="653"/>
      <c r="M7" s="640"/>
      <c r="N7" s="207"/>
      <c r="O7" s="640"/>
      <c r="P7" s="34"/>
    </row>
    <row r="8" spans="1:16" ht="12" customHeight="1">
      <c r="A8" s="201"/>
      <c r="B8" s="152" t="s">
        <v>269</v>
      </c>
      <c r="C8" s="152"/>
      <c r="D8" s="152"/>
      <c r="E8" s="151">
        <v>1</v>
      </c>
      <c r="F8" s="205"/>
      <c r="G8" s="164"/>
      <c r="H8" s="205"/>
      <c r="I8" s="205"/>
      <c r="J8" s="205"/>
      <c r="K8" s="205"/>
      <c r="L8" s="205"/>
      <c r="M8" s="205"/>
      <c r="N8" s="205"/>
      <c r="O8" s="205"/>
      <c r="P8" s="119">
        <v>1</v>
      </c>
    </row>
    <row r="9" spans="1:16" ht="12" customHeight="1">
      <c r="A9" s="201"/>
      <c r="B9" s="152" t="s">
        <v>271</v>
      </c>
      <c r="C9" s="152"/>
      <c r="D9" s="152"/>
      <c r="E9" s="151">
        <v>2</v>
      </c>
      <c r="F9" s="205"/>
      <c r="G9" s="164"/>
      <c r="H9" s="205"/>
      <c r="I9" s="205"/>
      <c r="J9" s="205"/>
      <c r="K9" s="205"/>
      <c r="L9" s="205"/>
      <c r="M9" s="205"/>
      <c r="N9" s="205"/>
      <c r="O9" s="205"/>
      <c r="P9" s="119">
        <v>2</v>
      </c>
    </row>
    <row r="10" spans="1:16" ht="12" customHeight="1">
      <c r="A10" s="121" t="s">
        <v>270</v>
      </c>
      <c r="B10" s="152"/>
      <c r="C10" s="152"/>
      <c r="D10" s="152"/>
      <c r="E10" s="151">
        <v>3</v>
      </c>
      <c r="F10" s="205"/>
      <c r="G10" s="177">
        <f>SUM(G8:G9)</f>
        <v>0</v>
      </c>
      <c r="H10" s="205"/>
      <c r="I10" s="205"/>
      <c r="J10" s="205"/>
      <c r="K10" s="205"/>
      <c r="L10" s="205"/>
      <c r="M10" s="205"/>
      <c r="N10" s="205"/>
      <c r="O10" s="205"/>
      <c r="P10" s="119">
        <v>3</v>
      </c>
    </row>
    <row r="11" spans="1:16" ht="11.25" customHeight="1">
      <c r="A11" s="201" t="s">
        <v>113</v>
      </c>
      <c r="B11" s="152"/>
      <c r="C11" s="152"/>
      <c r="D11" s="152"/>
      <c r="E11" s="210"/>
      <c r="F11" s="261"/>
      <c r="G11" s="628"/>
      <c r="H11" s="253"/>
      <c r="I11" s="253"/>
      <c r="J11" s="253"/>
      <c r="K11" s="253"/>
      <c r="L11" s="253"/>
      <c r="M11" s="641">
        <f>[2]!SEIP1071P260F1000</f>
        <v>0</v>
      </c>
      <c r="N11" s="634">
        <f>SUM(H13:L13)</f>
        <v>0</v>
      </c>
      <c r="O11" s="261"/>
      <c r="P11" s="34"/>
    </row>
    <row r="12" spans="1:16" ht="12" customHeight="1">
      <c r="A12" s="120" t="s">
        <v>279</v>
      </c>
      <c r="B12" s="34"/>
      <c r="C12" s="34"/>
      <c r="D12" s="34"/>
      <c r="F12" s="262"/>
      <c r="G12" s="629"/>
      <c r="H12" s="256"/>
      <c r="I12" s="256"/>
      <c r="J12" s="256"/>
      <c r="K12" s="256"/>
      <c r="L12" s="256"/>
      <c r="M12" s="642"/>
      <c r="N12" s="644"/>
      <c r="O12" s="262"/>
      <c r="P12" s="34"/>
    </row>
    <row r="13" spans="1:16" ht="12" customHeight="1">
      <c r="A13" s="120"/>
      <c r="B13" s="34" t="s">
        <v>201</v>
      </c>
      <c r="C13" s="34"/>
      <c r="D13" s="34"/>
      <c r="E13" s="210">
        <v>4</v>
      </c>
      <c r="F13" s="263"/>
      <c r="G13" s="630"/>
      <c r="H13" s="254"/>
      <c r="I13" s="254"/>
      <c r="J13" s="254"/>
      <c r="K13" s="254"/>
      <c r="L13" s="254"/>
      <c r="M13" s="643"/>
      <c r="N13" s="635"/>
      <c r="O13" s="263"/>
      <c r="P13" s="119">
        <v>4</v>
      </c>
    </row>
    <row r="14" spans="1:15" ht="12" customHeight="1">
      <c r="A14" s="120"/>
      <c r="B14" s="152" t="s">
        <v>161</v>
      </c>
      <c r="C14" s="34"/>
      <c r="D14" s="34"/>
      <c r="F14" s="264"/>
      <c r="G14" s="628"/>
      <c r="H14" s="253"/>
      <c r="I14" s="253"/>
      <c r="J14" s="253"/>
      <c r="K14" s="253"/>
      <c r="L14" s="253"/>
      <c r="M14" s="641">
        <f>[2]!SEIP1071P260F2100</f>
        <v>0</v>
      </c>
      <c r="N14" s="634">
        <f>SUM(H15:L15)</f>
        <v>0</v>
      </c>
      <c r="O14" s="264"/>
    </row>
    <row r="15" spans="1:16" ht="12" customHeight="1">
      <c r="A15" s="120"/>
      <c r="B15" s="34"/>
      <c r="C15" s="34" t="s">
        <v>202</v>
      </c>
      <c r="D15" s="34"/>
      <c r="E15" s="151">
        <v>5</v>
      </c>
      <c r="F15" s="265"/>
      <c r="G15" s="630"/>
      <c r="H15" s="254"/>
      <c r="I15" s="254"/>
      <c r="J15" s="254"/>
      <c r="K15" s="254"/>
      <c r="L15" s="254"/>
      <c r="M15" s="643"/>
      <c r="N15" s="635"/>
      <c r="O15" s="265"/>
      <c r="P15" s="119">
        <v>5</v>
      </c>
    </row>
    <row r="16" spans="1:16" ht="12" customHeight="1">
      <c r="A16" s="120"/>
      <c r="B16" s="34"/>
      <c r="C16" s="34" t="s">
        <v>243</v>
      </c>
      <c r="D16" s="34"/>
      <c r="E16" s="210">
        <v>6</v>
      </c>
      <c r="F16" s="266"/>
      <c r="G16" s="212"/>
      <c r="H16" s="164"/>
      <c r="I16" s="164"/>
      <c r="J16" s="164"/>
      <c r="K16" s="164"/>
      <c r="L16" s="164"/>
      <c r="M16" s="176">
        <f>[2]!SEIP1071P260F2200</f>
        <v>0</v>
      </c>
      <c r="N16" s="122">
        <f aca="true" t="shared" si="0" ref="N16:N21">SUM(H16:L16)</f>
        <v>0</v>
      </c>
      <c r="O16" s="266"/>
      <c r="P16" s="119">
        <v>6</v>
      </c>
    </row>
    <row r="17" spans="1:16" ht="12" customHeight="1">
      <c r="A17" s="120"/>
      <c r="B17" s="34"/>
      <c r="C17" s="34" t="s">
        <v>203</v>
      </c>
      <c r="D17" s="34"/>
      <c r="E17" s="151">
        <v>7</v>
      </c>
      <c r="F17" s="266"/>
      <c r="G17" s="211"/>
      <c r="H17" s="164"/>
      <c r="I17" s="164"/>
      <c r="J17" s="164"/>
      <c r="K17" s="164"/>
      <c r="L17" s="164"/>
      <c r="M17" s="176">
        <f>[2]!SEIP1071P260F2300</f>
        <v>0</v>
      </c>
      <c r="N17" s="122">
        <f t="shared" si="0"/>
        <v>0</v>
      </c>
      <c r="O17" s="266"/>
      <c r="P17" s="119">
        <v>7</v>
      </c>
    </row>
    <row r="18" spans="1:16" ht="12" customHeight="1">
      <c r="A18" s="120"/>
      <c r="B18" s="34"/>
      <c r="C18" s="34" t="s">
        <v>204</v>
      </c>
      <c r="D18" s="34"/>
      <c r="E18" s="151">
        <v>8</v>
      </c>
      <c r="F18" s="266"/>
      <c r="G18" s="211"/>
      <c r="H18" s="164"/>
      <c r="I18" s="164"/>
      <c r="J18" s="164"/>
      <c r="K18" s="164"/>
      <c r="L18" s="164"/>
      <c r="M18" s="176">
        <f>[2]!SEIP1071P260F2400</f>
        <v>0</v>
      </c>
      <c r="N18" s="122">
        <f t="shared" si="0"/>
        <v>0</v>
      </c>
      <c r="O18" s="266"/>
      <c r="P18" s="119">
        <v>8</v>
      </c>
    </row>
    <row r="19" spans="1:16" ht="12" customHeight="1">
      <c r="A19" s="120"/>
      <c r="B19" s="34"/>
      <c r="C19" s="152" t="s">
        <v>244</v>
      </c>
      <c r="D19" s="34"/>
      <c r="E19" s="151">
        <v>9</v>
      </c>
      <c r="F19" s="266"/>
      <c r="G19" s="211"/>
      <c r="H19" s="164"/>
      <c r="I19" s="164"/>
      <c r="J19" s="164"/>
      <c r="K19" s="164"/>
      <c r="L19" s="164"/>
      <c r="M19" s="176">
        <f>[2]!SEIP1071P260F2500</f>
        <v>0</v>
      </c>
      <c r="N19" s="122">
        <f t="shared" si="0"/>
        <v>0</v>
      </c>
      <c r="O19" s="266"/>
      <c r="P19" s="119">
        <v>9</v>
      </c>
    </row>
    <row r="20" spans="1:16" ht="12" customHeight="1">
      <c r="A20" s="120"/>
      <c r="B20" s="34"/>
      <c r="C20" s="152" t="s">
        <v>305</v>
      </c>
      <c r="D20" s="34"/>
      <c r="E20" s="151">
        <v>10</v>
      </c>
      <c r="F20" s="266"/>
      <c r="G20" s="211"/>
      <c r="H20" s="123"/>
      <c r="I20" s="123"/>
      <c r="J20" s="123"/>
      <c r="K20" s="123"/>
      <c r="L20" s="123"/>
      <c r="M20" s="177">
        <f>[2]!SEIP1071P260F2600</f>
        <v>0</v>
      </c>
      <c r="N20" s="122">
        <f t="shared" si="0"/>
        <v>0</v>
      </c>
      <c r="O20" s="266"/>
      <c r="P20" s="119">
        <v>10</v>
      </c>
    </row>
    <row r="21" spans="1:16" ht="12" customHeight="1">
      <c r="A21" s="120"/>
      <c r="B21" s="34"/>
      <c r="C21" s="152" t="s">
        <v>306</v>
      </c>
      <c r="D21" s="34"/>
      <c r="E21" s="151">
        <v>11</v>
      </c>
      <c r="F21" s="266"/>
      <c r="G21" s="211"/>
      <c r="H21" s="124"/>
      <c r="I21" s="124"/>
      <c r="J21" s="124"/>
      <c r="K21" s="124"/>
      <c r="L21" s="124"/>
      <c r="M21" s="175">
        <f>[2]!SEIP1071P260F2900</f>
        <v>0</v>
      </c>
      <c r="N21" s="122">
        <f t="shared" si="0"/>
        <v>0</v>
      </c>
      <c r="O21" s="266"/>
      <c r="P21" s="119">
        <v>11</v>
      </c>
    </row>
    <row r="22" spans="1:16" ht="12" customHeight="1">
      <c r="A22" s="153"/>
      <c r="B22" s="114" t="s">
        <v>276</v>
      </c>
      <c r="C22" s="167"/>
      <c r="D22" s="114"/>
      <c r="E22" s="148">
        <v>12</v>
      </c>
      <c r="F22" s="266"/>
      <c r="G22" s="213"/>
      <c r="H22" s="166">
        <f aca="true" t="shared" si="1" ref="H22:N22">SUM(H11:H21)</f>
        <v>0</v>
      </c>
      <c r="I22" s="166">
        <f t="shared" si="1"/>
        <v>0</v>
      </c>
      <c r="J22" s="166">
        <f t="shared" si="1"/>
        <v>0</v>
      </c>
      <c r="K22" s="166">
        <f t="shared" si="1"/>
        <v>0</v>
      </c>
      <c r="L22" s="166">
        <f t="shared" si="1"/>
        <v>0</v>
      </c>
      <c r="M22" s="175">
        <f t="shared" si="1"/>
        <v>0</v>
      </c>
      <c r="N22" s="166">
        <f t="shared" si="1"/>
        <v>0</v>
      </c>
      <c r="O22" s="266"/>
      <c r="P22" s="184">
        <v>12</v>
      </c>
    </row>
    <row r="23" spans="1:16" ht="12" customHeight="1">
      <c r="A23" s="120" t="s">
        <v>246</v>
      </c>
      <c r="B23" s="34"/>
      <c r="C23" s="152"/>
      <c r="D23" s="34"/>
      <c r="E23" s="151"/>
      <c r="F23" s="264"/>
      <c r="G23" s="628"/>
      <c r="H23" s="253"/>
      <c r="I23" s="253"/>
      <c r="J23" s="253"/>
      <c r="K23" s="253"/>
      <c r="L23" s="253"/>
      <c r="M23" s="648">
        <f>[2]!SEIP1071P430F2700</f>
        <v>0</v>
      </c>
      <c r="N23" s="656">
        <f>SUM(H25:L25)</f>
        <v>0</v>
      </c>
      <c r="O23" s="264"/>
      <c r="P23" s="119"/>
    </row>
    <row r="24" spans="1:16" ht="12" customHeight="1">
      <c r="A24" s="120"/>
      <c r="B24" s="34" t="s">
        <v>161</v>
      </c>
      <c r="C24" s="152"/>
      <c r="D24" s="34"/>
      <c r="E24" s="151"/>
      <c r="F24" s="267"/>
      <c r="G24" s="629"/>
      <c r="H24" s="256"/>
      <c r="I24" s="256"/>
      <c r="J24" s="256"/>
      <c r="K24" s="256"/>
      <c r="L24" s="256"/>
      <c r="M24" s="649"/>
      <c r="N24" s="657"/>
      <c r="O24" s="267"/>
      <c r="P24" s="119"/>
    </row>
    <row r="25" spans="1:16" ht="12" customHeight="1">
      <c r="A25" s="120"/>
      <c r="B25" s="34"/>
      <c r="C25" s="152" t="s">
        <v>266</v>
      </c>
      <c r="D25" s="34"/>
      <c r="E25" s="151">
        <v>13</v>
      </c>
      <c r="F25" s="265"/>
      <c r="G25" s="630"/>
      <c r="H25" s="254"/>
      <c r="I25" s="254"/>
      <c r="J25" s="254"/>
      <c r="K25" s="254"/>
      <c r="L25" s="254"/>
      <c r="M25" s="650"/>
      <c r="N25" s="658"/>
      <c r="O25" s="265"/>
      <c r="P25" s="184">
        <v>13</v>
      </c>
    </row>
    <row r="26" spans="1:16" ht="12" customHeight="1">
      <c r="A26" s="154" t="s">
        <v>458</v>
      </c>
      <c r="B26" s="155"/>
      <c r="C26" s="155"/>
      <c r="D26" s="155"/>
      <c r="E26" s="156">
        <v>14</v>
      </c>
      <c r="F26" s="222">
        <f>[1]!SEIP1071EndBal</f>
        <v>0</v>
      </c>
      <c r="G26" s="222">
        <f>G10</f>
        <v>0</v>
      </c>
      <c r="H26" s="122">
        <f aca="true" t="shared" si="2" ref="H26:N26">SUM(H22:H25)</f>
        <v>0</v>
      </c>
      <c r="I26" s="122">
        <f t="shared" si="2"/>
        <v>0</v>
      </c>
      <c r="J26" s="122">
        <f t="shared" si="2"/>
        <v>0</v>
      </c>
      <c r="K26" s="122">
        <f t="shared" si="2"/>
        <v>0</v>
      </c>
      <c r="L26" s="122">
        <f t="shared" si="2"/>
        <v>0</v>
      </c>
      <c r="M26" s="177">
        <f t="shared" si="2"/>
        <v>0</v>
      </c>
      <c r="N26" s="122">
        <f t="shared" si="2"/>
        <v>0</v>
      </c>
      <c r="O26" s="247">
        <f>F26+G26-N26</f>
        <v>0</v>
      </c>
      <c r="P26" s="184">
        <v>14</v>
      </c>
    </row>
    <row r="27" spans="1:16" ht="9" customHeight="1">
      <c r="A27" s="646"/>
      <c r="B27" s="646"/>
      <c r="C27" s="646"/>
      <c r="D27" s="646"/>
      <c r="E27" s="646"/>
      <c r="F27" s="646"/>
      <c r="G27" s="646"/>
      <c r="H27" s="646"/>
      <c r="I27" s="646"/>
      <c r="J27" s="647"/>
      <c r="K27" s="647"/>
      <c r="L27" s="647"/>
      <c r="M27" s="34"/>
      <c r="N27" s="34"/>
      <c r="O27" s="34"/>
      <c r="P27" s="34"/>
    </row>
    <row r="28" spans="1:16" ht="11.25" customHeight="1">
      <c r="A28" s="141" t="s">
        <v>230</v>
      </c>
      <c r="B28" s="118"/>
      <c r="C28" s="118"/>
      <c r="D28" s="180"/>
      <c r="E28" s="150"/>
      <c r="F28" s="632"/>
      <c r="G28" s="628"/>
      <c r="H28" s="636"/>
      <c r="I28" s="636"/>
      <c r="J28" s="636"/>
      <c r="K28" s="636"/>
      <c r="L28" s="638"/>
      <c r="M28" s="631"/>
      <c r="N28" s="631"/>
      <c r="O28" s="632"/>
      <c r="P28" s="152"/>
    </row>
    <row r="29" spans="1:16" ht="11.25" customHeight="1">
      <c r="A29" s="201" t="s">
        <v>175</v>
      </c>
      <c r="B29" s="34"/>
      <c r="C29" s="34"/>
      <c r="D29" s="152"/>
      <c r="E29" s="151"/>
      <c r="F29" s="633"/>
      <c r="G29" s="629"/>
      <c r="H29" s="637"/>
      <c r="I29" s="637"/>
      <c r="J29" s="637"/>
      <c r="K29" s="637"/>
      <c r="L29" s="638"/>
      <c r="M29" s="631"/>
      <c r="N29" s="631"/>
      <c r="O29" s="633"/>
      <c r="P29" s="152"/>
    </row>
    <row r="30" spans="1:16" ht="12" customHeight="1">
      <c r="A30" s="201"/>
      <c r="B30" s="152" t="s">
        <v>269</v>
      </c>
      <c r="C30" s="34"/>
      <c r="D30" s="152"/>
      <c r="E30" s="151">
        <v>15</v>
      </c>
      <c r="F30" s="215"/>
      <c r="G30" s="248"/>
      <c r="H30" s="205"/>
      <c r="I30" s="205"/>
      <c r="J30" s="205"/>
      <c r="K30" s="205"/>
      <c r="L30" s="214"/>
      <c r="M30" s="205"/>
      <c r="N30" s="205"/>
      <c r="O30" s="215"/>
      <c r="P30" s="184">
        <v>15</v>
      </c>
    </row>
    <row r="31" spans="1:16" ht="12" customHeight="1">
      <c r="A31" s="201"/>
      <c r="B31" s="152" t="s">
        <v>271</v>
      </c>
      <c r="C31" s="34"/>
      <c r="D31" s="152"/>
      <c r="E31" s="151">
        <v>16</v>
      </c>
      <c r="F31" s="215"/>
      <c r="G31" s="164"/>
      <c r="H31" s="205"/>
      <c r="I31" s="205"/>
      <c r="J31" s="205"/>
      <c r="K31" s="205"/>
      <c r="L31" s="205"/>
      <c r="M31" s="205"/>
      <c r="N31" s="205"/>
      <c r="O31" s="215"/>
      <c r="P31" s="184">
        <v>16</v>
      </c>
    </row>
    <row r="32" spans="1:16" ht="12" customHeight="1">
      <c r="A32" s="121" t="s">
        <v>287</v>
      </c>
      <c r="B32" s="34"/>
      <c r="C32" s="34"/>
      <c r="D32" s="152"/>
      <c r="E32" s="151">
        <v>17</v>
      </c>
      <c r="F32" s="217"/>
      <c r="G32" s="202">
        <f>SUM(G30:G31)</f>
        <v>0</v>
      </c>
      <c r="H32" s="216"/>
      <c r="I32" s="216"/>
      <c r="J32" s="216"/>
      <c r="K32" s="216"/>
      <c r="L32" s="216"/>
      <c r="M32" s="216"/>
      <c r="N32" s="216"/>
      <c r="O32" s="217"/>
      <c r="P32" s="184">
        <v>17</v>
      </c>
    </row>
    <row r="33" spans="1:16" ht="11.25" customHeight="1">
      <c r="A33" s="201" t="s">
        <v>113</v>
      </c>
      <c r="B33" s="34"/>
      <c r="C33" s="34"/>
      <c r="D33" s="152"/>
      <c r="E33" s="210"/>
      <c r="F33" s="261"/>
      <c r="G33" s="218"/>
      <c r="H33" s="202"/>
      <c r="I33" s="202"/>
      <c r="J33" s="202"/>
      <c r="K33" s="202"/>
      <c r="L33" s="202"/>
      <c r="M33" s="651">
        <f>[2]!CIP1072P265F1000</f>
        <v>0</v>
      </c>
      <c r="N33" s="651">
        <f>SUM(H35:L35)</f>
        <v>0</v>
      </c>
      <c r="O33" s="261"/>
      <c r="P33" s="152"/>
    </row>
    <row r="34" spans="1:16" ht="12" customHeight="1">
      <c r="A34" s="120" t="s">
        <v>280</v>
      </c>
      <c r="B34" s="34"/>
      <c r="C34" s="34"/>
      <c r="D34" s="152"/>
      <c r="E34" s="210"/>
      <c r="F34" s="262"/>
      <c r="G34" s="219"/>
      <c r="H34" s="255"/>
      <c r="I34" s="255"/>
      <c r="J34" s="255"/>
      <c r="K34" s="255"/>
      <c r="L34" s="255"/>
      <c r="M34" s="651"/>
      <c r="N34" s="651"/>
      <c r="O34" s="262"/>
      <c r="P34" s="152"/>
    </row>
    <row r="35" spans="1:16" ht="12" customHeight="1">
      <c r="A35" s="120"/>
      <c r="B35" s="34" t="s">
        <v>201</v>
      </c>
      <c r="C35" s="34"/>
      <c r="D35" s="152"/>
      <c r="E35" s="210">
        <v>18</v>
      </c>
      <c r="F35" s="263"/>
      <c r="G35" s="220"/>
      <c r="H35" s="260"/>
      <c r="I35" s="260"/>
      <c r="J35" s="260"/>
      <c r="K35" s="260"/>
      <c r="L35" s="260"/>
      <c r="M35" s="651"/>
      <c r="N35" s="651"/>
      <c r="O35" s="263"/>
      <c r="P35" s="184">
        <v>18</v>
      </c>
    </row>
    <row r="36" spans="1:16" ht="12" customHeight="1">
      <c r="A36" s="120"/>
      <c r="B36" s="152" t="s">
        <v>161</v>
      </c>
      <c r="C36" s="34"/>
      <c r="D36" s="152"/>
      <c r="E36" s="151"/>
      <c r="F36" s="264"/>
      <c r="G36" s="629"/>
      <c r="H36" s="202"/>
      <c r="I36" s="202"/>
      <c r="J36" s="202"/>
      <c r="K36" s="202"/>
      <c r="L36" s="202"/>
      <c r="M36" s="649">
        <f>[2]!CIP1072P265F2100</f>
        <v>0</v>
      </c>
      <c r="N36" s="649">
        <f>SUM(H37:L37)</f>
        <v>0</v>
      </c>
      <c r="O36" s="264"/>
      <c r="P36" s="184"/>
    </row>
    <row r="37" spans="1:16" ht="12" customHeight="1">
      <c r="A37" s="120"/>
      <c r="B37" s="34"/>
      <c r="C37" s="34" t="s">
        <v>202</v>
      </c>
      <c r="D37" s="152"/>
      <c r="E37" s="151">
        <v>19</v>
      </c>
      <c r="F37" s="265"/>
      <c r="G37" s="629"/>
      <c r="H37" s="260"/>
      <c r="I37" s="260"/>
      <c r="J37" s="260"/>
      <c r="K37" s="260"/>
      <c r="L37" s="260"/>
      <c r="M37" s="650"/>
      <c r="N37" s="650"/>
      <c r="O37" s="265"/>
      <c r="P37" s="184">
        <v>19</v>
      </c>
    </row>
    <row r="38" spans="1:16" ht="12" customHeight="1">
      <c r="A38" s="120"/>
      <c r="B38" s="34"/>
      <c r="C38" s="34" t="s">
        <v>243</v>
      </c>
      <c r="D38" s="152"/>
      <c r="E38" s="151">
        <v>20</v>
      </c>
      <c r="F38" s="266"/>
      <c r="G38" s="211"/>
      <c r="H38" s="181"/>
      <c r="I38" s="181"/>
      <c r="J38" s="181"/>
      <c r="K38" s="181"/>
      <c r="L38" s="181"/>
      <c r="M38" s="176">
        <f>[2]!CIP1072P265F2200</f>
        <v>0</v>
      </c>
      <c r="N38" s="177">
        <f aca="true" t="shared" si="3" ref="N38:N43">SUM(H38:L38)</f>
        <v>0</v>
      </c>
      <c r="O38" s="266"/>
      <c r="P38" s="184">
        <v>20</v>
      </c>
    </row>
    <row r="39" spans="1:16" ht="12" customHeight="1">
      <c r="A39" s="120"/>
      <c r="B39" s="34"/>
      <c r="C39" s="34" t="s">
        <v>203</v>
      </c>
      <c r="D39" s="152"/>
      <c r="E39" s="151">
        <v>21</v>
      </c>
      <c r="F39" s="266"/>
      <c r="G39" s="211"/>
      <c r="H39" s="181"/>
      <c r="I39" s="181"/>
      <c r="J39" s="181"/>
      <c r="K39" s="181"/>
      <c r="L39" s="181"/>
      <c r="M39" s="176">
        <f>[2]!CIP1072P265F2300</f>
        <v>0</v>
      </c>
      <c r="N39" s="177">
        <f t="shared" si="3"/>
        <v>0</v>
      </c>
      <c r="O39" s="266"/>
      <c r="P39" s="184">
        <v>21</v>
      </c>
    </row>
    <row r="40" spans="1:16" ht="12" customHeight="1">
      <c r="A40" s="120"/>
      <c r="B40" s="34"/>
      <c r="C40" s="34" t="s">
        <v>204</v>
      </c>
      <c r="D40" s="152"/>
      <c r="E40" s="151">
        <v>22</v>
      </c>
      <c r="F40" s="266"/>
      <c r="G40" s="211"/>
      <c r="H40" s="181"/>
      <c r="I40" s="181"/>
      <c r="J40" s="181"/>
      <c r="K40" s="181"/>
      <c r="L40" s="181"/>
      <c r="M40" s="176">
        <f>[2]!CIP1072P265F2400</f>
        <v>0</v>
      </c>
      <c r="N40" s="177">
        <f t="shared" si="3"/>
        <v>0</v>
      </c>
      <c r="O40" s="266"/>
      <c r="P40" s="184">
        <v>22</v>
      </c>
    </row>
    <row r="41" spans="1:16" ht="12" customHeight="1">
      <c r="A41" s="120"/>
      <c r="B41" s="34"/>
      <c r="C41" s="152" t="s">
        <v>244</v>
      </c>
      <c r="D41" s="152"/>
      <c r="E41" s="151">
        <v>23</v>
      </c>
      <c r="F41" s="266"/>
      <c r="G41" s="211"/>
      <c r="H41" s="181"/>
      <c r="I41" s="181"/>
      <c r="J41" s="181"/>
      <c r="K41" s="181"/>
      <c r="L41" s="181"/>
      <c r="M41" s="176">
        <f>[2]!CIP1072P265F2500</f>
        <v>0</v>
      </c>
      <c r="N41" s="177">
        <f t="shared" si="3"/>
        <v>0</v>
      </c>
      <c r="O41" s="266"/>
      <c r="P41" s="184">
        <v>23</v>
      </c>
    </row>
    <row r="42" spans="1:16" ht="12" customHeight="1">
      <c r="A42" s="120"/>
      <c r="B42" s="34"/>
      <c r="C42" s="152" t="s">
        <v>305</v>
      </c>
      <c r="D42" s="152"/>
      <c r="E42" s="151">
        <v>24</v>
      </c>
      <c r="F42" s="266"/>
      <c r="G42" s="211"/>
      <c r="H42" s="182"/>
      <c r="I42" s="182"/>
      <c r="J42" s="182"/>
      <c r="K42" s="182"/>
      <c r="L42" s="182"/>
      <c r="M42" s="177">
        <f>[2]!CIP1072P265F2600</f>
        <v>0</v>
      </c>
      <c r="N42" s="177">
        <f t="shared" si="3"/>
        <v>0</v>
      </c>
      <c r="O42" s="266"/>
      <c r="P42" s="184">
        <v>24</v>
      </c>
    </row>
    <row r="43" spans="1:16" ht="12" customHeight="1">
      <c r="A43" s="120"/>
      <c r="B43" s="34"/>
      <c r="C43" s="152" t="s">
        <v>306</v>
      </c>
      <c r="D43" s="152"/>
      <c r="E43" s="151">
        <v>25</v>
      </c>
      <c r="F43" s="266"/>
      <c r="G43" s="211"/>
      <c r="H43" s="183"/>
      <c r="I43" s="183"/>
      <c r="J43" s="183"/>
      <c r="K43" s="183"/>
      <c r="L43" s="183"/>
      <c r="M43" s="175">
        <f>[2]!CIP1072P265F2900</f>
        <v>0</v>
      </c>
      <c r="N43" s="177">
        <f t="shared" si="3"/>
        <v>0</v>
      </c>
      <c r="O43" s="266"/>
      <c r="P43" s="184">
        <v>25</v>
      </c>
    </row>
    <row r="44" spans="1:16" ht="12" customHeight="1">
      <c r="A44" s="153"/>
      <c r="B44" s="114" t="s">
        <v>286</v>
      </c>
      <c r="C44" s="167"/>
      <c r="D44" s="167"/>
      <c r="E44" s="148">
        <v>26</v>
      </c>
      <c r="F44" s="266"/>
      <c r="G44" s="211"/>
      <c r="H44" s="175">
        <f aca="true" t="shared" si="4" ref="H44:N44">SUM(H33:H43)</f>
        <v>0</v>
      </c>
      <c r="I44" s="175">
        <f t="shared" si="4"/>
        <v>0</v>
      </c>
      <c r="J44" s="175">
        <f t="shared" si="4"/>
        <v>0</v>
      </c>
      <c r="K44" s="175">
        <f t="shared" si="4"/>
        <v>0</v>
      </c>
      <c r="L44" s="175">
        <f t="shared" si="4"/>
        <v>0</v>
      </c>
      <c r="M44" s="175">
        <f t="shared" si="4"/>
        <v>0</v>
      </c>
      <c r="N44" s="175">
        <f t="shared" si="4"/>
        <v>0</v>
      </c>
      <c r="O44" s="266"/>
      <c r="P44" s="184">
        <v>26</v>
      </c>
    </row>
    <row r="45" spans="1:16" ht="12" customHeight="1">
      <c r="A45" s="120" t="s">
        <v>277</v>
      </c>
      <c r="B45" s="34"/>
      <c r="C45" s="152"/>
      <c r="D45" s="152"/>
      <c r="E45" s="151"/>
      <c r="F45" s="264"/>
      <c r="G45" s="628"/>
      <c r="H45" s="202"/>
      <c r="I45" s="202"/>
      <c r="J45" s="202"/>
      <c r="K45" s="202"/>
      <c r="L45" s="202"/>
      <c r="M45" s="648">
        <f>[2]!CIP1072P435F2700</f>
        <v>0</v>
      </c>
      <c r="N45" s="648">
        <f>SUM(H47:L47)</f>
        <v>0</v>
      </c>
      <c r="O45" s="264"/>
      <c r="P45" s="184"/>
    </row>
    <row r="46" spans="1:16" ht="12" customHeight="1">
      <c r="A46" s="120"/>
      <c r="B46" s="34" t="s">
        <v>161</v>
      </c>
      <c r="C46" s="152"/>
      <c r="D46" s="152"/>
      <c r="E46" s="151"/>
      <c r="F46" s="267"/>
      <c r="G46" s="629"/>
      <c r="H46" s="255"/>
      <c r="I46" s="255"/>
      <c r="J46" s="255"/>
      <c r="K46" s="255"/>
      <c r="L46" s="255"/>
      <c r="M46" s="649"/>
      <c r="N46" s="649"/>
      <c r="O46" s="267"/>
      <c r="P46" s="184"/>
    </row>
    <row r="47" spans="1:16" ht="12" customHeight="1">
      <c r="A47" s="120"/>
      <c r="B47" s="34"/>
      <c r="C47" s="152" t="s">
        <v>266</v>
      </c>
      <c r="D47" s="152"/>
      <c r="E47" s="151">
        <v>27</v>
      </c>
      <c r="F47" s="265"/>
      <c r="G47" s="630"/>
      <c r="H47" s="260"/>
      <c r="I47" s="260"/>
      <c r="J47" s="260"/>
      <c r="K47" s="260"/>
      <c r="L47" s="260"/>
      <c r="M47" s="650"/>
      <c r="N47" s="650"/>
      <c r="O47" s="265"/>
      <c r="P47" s="184">
        <v>27</v>
      </c>
    </row>
    <row r="48" spans="1:16" ht="12" customHeight="1">
      <c r="A48" s="186" t="s">
        <v>459</v>
      </c>
      <c r="B48" s="185"/>
      <c r="C48" s="185"/>
      <c r="D48" s="185"/>
      <c r="E48" s="156">
        <v>28</v>
      </c>
      <c r="F48" s="222">
        <f>[1]!CIP1072EndBal</f>
        <v>0</v>
      </c>
      <c r="G48" s="222">
        <f>G32</f>
        <v>0</v>
      </c>
      <c r="H48" s="177">
        <f aca="true" t="shared" si="5" ref="H48:N48">SUM(H44:H47)</f>
        <v>0</v>
      </c>
      <c r="I48" s="177">
        <f t="shared" si="5"/>
        <v>0</v>
      </c>
      <c r="J48" s="177">
        <f t="shared" si="5"/>
        <v>0</v>
      </c>
      <c r="K48" s="177">
        <f t="shared" si="5"/>
        <v>0</v>
      </c>
      <c r="L48" s="177">
        <f t="shared" si="5"/>
        <v>0</v>
      </c>
      <c r="M48" s="177">
        <f t="shared" si="5"/>
        <v>0</v>
      </c>
      <c r="N48" s="177">
        <f t="shared" si="5"/>
        <v>0</v>
      </c>
      <c r="O48" s="247">
        <f>F48+G48-N48</f>
        <v>0</v>
      </c>
      <c r="P48" s="184">
        <v>28</v>
      </c>
    </row>
  </sheetData>
  <sheetProtection sheet="1" formatCells="0" formatColumns="0" formatRows="0"/>
  <mergeCells count="40">
    <mergeCell ref="N33:N35"/>
    <mergeCell ref="F28:F29"/>
    <mergeCell ref="F6:F7"/>
    <mergeCell ref="M3:N3"/>
    <mergeCell ref="M14:M15"/>
    <mergeCell ref="M45:M47"/>
    <mergeCell ref="K6:K7"/>
    <mergeCell ref="L6:L7"/>
    <mergeCell ref="N23:N25"/>
    <mergeCell ref="M23:M25"/>
    <mergeCell ref="D1:E1"/>
    <mergeCell ref="J1:K1"/>
    <mergeCell ref="A27:L27"/>
    <mergeCell ref="N45:N47"/>
    <mergeCell ref="M36:M37"/>
    <mergeCell ref="N36:N37"/>
    <mergeCell ref="M33:M35"/>
    <mergeCell ref="H6:H7"/>
    <mergeCell ref="I6:I7"/>
    <mergeCell ref="J6:J7"/>
    <mergeCell ref="K28:K29"/>
    <mergeCell ref="L28:L29"/>
    <mergeCell ref="M6:M7"/>
    <mergeCell ref="O6:O7"/>
    <mergeCell ref="G11:G13"/>
    <mergeCell ref="G23:G25"/>
    <mergeCell ref="M11:M13"/>
    <mergeCell ref="N11:N13"/>
    <mergeCell ref="G14:G15"/>
    <mergeCell ref="G6:G7"/>
    <mergeCell ref="G45:G47"/>
    <mergeCell ref="M28:M29"/>
    <mergeCell ref="N28:N29"/>
    <mergeCell ref="O28:O29"/>
    <mergeCell ref="N14:N15"/>
    <mergeCell ref="G28:G29"/>
    <mergeCell ref="G36:G37"/>
    <mergeCell ref="H28:H29"/>
    <mergeCell ref="I28:I29"/>
    <mergeCell ref="J28:J29"/>
  </mergeCells>
  <printOptions/>
  <pageMargins left="0.75" right="0.25" top="0.25" bottom="0.25" header="0.5" footer="0.15"/>
  <pageSetup fitToHeight="1" fitToWidth="1" horizontalDpi="600" verticalDpi="600" orientation="landscape" scale="78" r:id="rId1"/>
  <headerFooter>
    <oddFooter>&amp;LRev. 8/17&amp;CFY 2017&amp;RPage 6 of 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P20" sqref="P20:Q20"/>
    </sheetView>
  </sheetViews>
  <sheetFormatPr defaultColWidth="9.33203125" defaultRowHeight="12.75"/>
  <cols>
    <col min="1" max="1" width="3.83203125" style="485" customWidth="1"/>
    <col min="2" max="2" width="30.5" style="485" customWidth="1"/>
    <col min="3" max="3" width="2.16015625" style="485" customWidth="1"/>
    <col min="4" max="4" width="13.83203125" style="485" bestFit="1" customWidth="1"/>
    <col min="5" max="5" width="3" style="485" customWidth="1"/>
    <col min="6" max="7" width="12.83203125" style="485" customWidth="1"/>
    <col min="8" max="8" width="3.33203125" style="485" customWidth="1"/>
    <col min="9" max="9" width="3.83203125" style="485" customWidth="1"/>
    <col min="10" max="10" width="2.5" style="485" customWidth="1"/>
    <col min="11" max="11" width="6.5" style="485" customWidth="1"/>
    <col min="12" max="12" width="16" style="485" bestFit="1" customWidth="1"/>
    <col min="13" max="15" width="4.83203125" style="485" customWidth="1"/>
    <col min="16" max="17" width="6.83203125" style="485" customWidth="1"/>
    <col min="18" max="18" width="15.5" style="485" customWidth="1"/>
    <col min="19" max="19" width="13.5" style="485" customWidth="1"/>
    <col min="20" max="20" width="13" style="485" customWidth="1"/>
    <col min="21" max="21" width="12.83203125" style="485" customWidth="1"/>
    <col min="22" max="22" width="15.83203125" style="485" customWidth="1"/>
    <col min="23" max="16384" width="9.33203125" style="485" customWidth="1"/>
  </cols>
  <sheetData>
    <row r="1" spans="1:21" ht="12" customHeight="1">
      <c r="A1" s="484" t="s">
        <v>0</v>
      </c>
      <c r="C1" s="674" t="str">
        <f>'Cover Page'!D1</f>
        <v>NORTH STAR CHARTER SCHOOL, INC.</v>
      </c>
      <c r="D1" s="674"/>
      <c r="E1" s="674"/>
      <c r="F1" s="674"/>
      <c r="G1" s="487"/>
      <c r="H1" s="485" t="s">
        <v>3</v>
      </c>
      <c r="I1" s="484" t="s">
        <v>1</v>
      </c>
      <c r="L1" s="486" t="str">
        <f>'Cover Page'!M1</f>
        <v>MARICOPA</v>
      </c>
      <c r="T1" s="488" t="s">
        <v>138</v>
      </c>
      <c r="U1" s="489" t="str">
        <f>'Cover Page'!R1</f>
        <v>078945000</v>
      </c>
    </row>
    <row r="2" spans="20:21" ht="12.75" hidden="1">
      <c r="T2" s="490"/>
      <c r="U2" s="490"/>
    </row>
    <row r="4" spans="1:21" ht="12.75">
      <c r="A4" s="491" t="s">
        <v>50</v>
      </c>
      <c r="B4" s="490"/>
      <c r="C4" s="490"/>
      <c r="D4" s="490"/>
      <c r="E4" s="490"/>
      <c r="F4" s="490"/>
      <c r="G4" s="490"/>
      <c r="H4" s="490"/>
      <c r="I4" s="490"/>
      <c r="J4" s="490"/>
      <c r="K4" s="490"/>
      <c r="L4" s="490"/>
      <c r="M4" s="490"/>
      <c r="N4" s="490"/>
      <c r="O4" s="490"/>
      <c r="P4" s="490"/>
      <c r="Q4" s="490"/>
      <c r="R4" s="490"/>
      <c r="S4" s="490"/>
      <c r="T4" s="490"/>
      <c r="U4" s="490"/>
    </row>
    <row r="5" spans="4:21" ht="12.75">
      <c r="D5" s="492">
        <v>42552</v>
      </c>
      <c r="E5" s="493"/>
      <c r="F5" s="492">
        <v>42916</v>
      </c>
      <c r="U5" s="487"/>
    </row>
    <row r="6" spans="1:20" ht="12.75">
      <c r="A6" s="485" t="s">
        <v>51</v>
      </c>
      <c r="B6" s="485" t="s">
        <v>57</v>
      </c>
      <c r="C6" s="494" t="s">
        <v>52</v>
      </c>
      <c r="D6" s="495">
        <v>466155</v>
      </c>
      <c r="E6" s="494" t="s">
        <v>52</v>
      </c>
      <c r="F6" s="496">
        <v>174539</v>
      </c>
      <c r="I6" s="485" t="s">
        <v>183</v>
      </c>
      <c r="J6" s="497" t="s">
        <v>6</v>
      </c>
      <c r="K6" s="498" t="s">
        <v>225</v>
      </c>
      <c r="L6" s="497"/>
      <c r="M6" s="498"/>
      <c r="N6" s="497"/>
      <c r="O6" s="498"/>
      <c r="P6" s="497"/>
      <c r="Q6" s="498"/>
      <c r="T6" s="496">
        <v>2</v>
      </c>
    </row>
    <row r="7" spans="1:20" ht="12.75">
      <c r="A7" s="499"/>
      <c r="B7" s="499"/>
      <c r="C7" s="499"/>
      <c r="D7" s="500"/>
      <c r="E7" s="499"/>
      <c r="F7" s="500"/>
      <c r="J7" s="497" t="s">
        <v>7</v>
      </c>
      <c r="K7" s="498" t="s">
        <v>226</v>
      </c>
      <c r="L7" s="497"/>
      <c r="M7" s="498"/>
      <c r="N7" s="497"/>
      <c r="O7" s="498"/>
      <c r="P7" s="497"/>
      <c r="Q7" s="498"/>
      <c r="T7" s="496">
        <v>5</v>
      </c>
    </row>
    <row r="8" spans="1:20" ht="12.75">
      <c r="A8" s="493" t="s">
        <v>56</v>
      </c>
      <c r="B8" s="498" t="s">
        <v>59</v>
      </c>
      <c r="C8" s="501"/>
      <c r="D8" s="493"/>
      <c r="E8" s="501"/>
      <c r="F8" s="502" t="s">
        <v>35</v>
      </c>
      <c r="G8" s="502" t="s">
        <v>4</v>
      </c>
      <c r="J8" s="497" t="s">
        <v>8</v>
      </c>
      <c r="K8" s="498" t="s">
        <v>227</v>
      </c>
      <c r="L8" s="497"/>
      <c r="M8" s="498"/>
      <c r="N8" s="497"/>
      <c r="O8" s="498"/>
      <c r="P8" s="497"/>
      <c r="Q8" s="498"/>
      <c r="T8" s="503"/>
    </row>
    <row r="9" spans="1:20" ht="12.75">
      <c r="A9" s="493"/>
      <c r="B9" s="493" t="s">
        <v>114</v>
      </c>
      <c r="C9" s="501"/>
      <c r="D9" s="493"/>
      <c r="E9" s="501"/>
      <c r="F9" s="504">
        <v>12000</v>
      </c>
      <c r="G9" s="504">
        <v>12000</v>
      </c>
      <c r="J9" s="505" t="s">
        <v>9</v>
      </c>
      <c r="K9" s="485" t="s">
        <v>53</v>
      </c>
      <c r="T9" s="506"/>
    </row>
    <row r="10" spans="1:20" ht="13.5" thickBot="1">
      <c r="A10" s="493"/>
      <c r="B10" s="493" t="s">
        <v>115</v>
      </c>
      <c r="C10" s="493"/>
      <c r="D10" s="493"/>
      <c r="E10" s="493"/>
      <c r="F10" s="507"/>
      <c r="G10" s="507"/>
      <c r="J10" s="505" t="s">
        <v>10</v>
      </c>
      <c r="K10" s="485" t="s">
        <v>54</v>
      </c>
      <c r="T10" s="496">
        <v>2</v>
      </c>
    </row>
    <row r="11" spans="1:20" ht="13.5" thickBot="1">
      <c r="A11" s="493"/>
      <c r="B11" s="493" t="s">
        <v>133</v>
      </c>
      <c r="C11" s="493"/>
      <c r="D11" s="493"/>
      <c r="E11" s="493"/>
      <c r="F11" s="508">
        <f>SUM(F9:F10)</f>
        <v>12000</v>
      </c>
      <c r="G11" s="509">
        <f>SUM(G9:G10)</f>
        <v>12000</v>
      </c>
      <c r="J11" s="510" t="s">
        <v>11</v>
      </c>
      <c r="K11" s="485" t="s">
        <v>314</v>
      </c>
      <c r="S11" s="494" t="s">
        <v>52</v>
      </c>
      <c r="T11" s="506">
        <v>180</v>
      </c>
    </row>
    <row r="12" spans="10:20" ht="13.5" thickTop="1">
      <c r="J12" s="510" t="s">
        <v>12</v>
      </c>
      <c r="K12" s="485" t="s">
        <v>267</v>
      </c>
      <c r="S12" s="494" t="s">
        <v>52</v>
      </c>
      <c r="T12" s="506"/>
    </row>
    <row r="13" spans="1:20" ht="12.75">
      <c r="A13" s="485" t="s">
        <v>58</v>
      </c>
      <c r="B13" s="498" t="s">
        <v>61</v>
      </c>
      <c r="F13" s="511" t="s">
        <v>35</v>
      </c>
      <c r="G13" s="511" t="s">
        <v>4</v>
      </c>
      <c r="J13" s="510" t="s">
        <v>14</v>
      </c>
      <c r="K13" s="485" t="s">
        <v>256</v>
      </c>
      <c r="S13" s="494" t="s">
        <v>52</v>
      </c>
      <c r="T13" s="512"/>
    </row>
    <row r="14" spans="2:21" ht="12.75">
      <c r="B14" s="493" t="s">
        <v>247</v>
      </c>
      <c r="C14" s="493"/>
      <c r="D14" s="493"/>
      <c r="E14" s="493"/>
      <c r="F14" s="513">
        <f>[2]!CA0191Land</f>
        <v>0</v>
      </c>
      <c r="G14" s="514">
        <v>0</v>
      </c>
      <c r="J14" s="510"/>
      <c r="T14" s="494"/>
      <c r="U14" s="515"/>
    </row>
    <row r="15" spans="2:21" ht="12.75">
      <c r="B15" s="493" t="s">
        <v>248</v>
      </c>
      <c r="C15" s="493"/>
      <c r="D15" s="493"/>
      <c r="E15" s="493"/>
      <c r="F15" s="513">
        <f>[2]!CA0192SiteImprovements</f>
        <v>0</v>
      </c>
      <c r="G15" s="514">
        <v>0</v>
      </c>
      <c r="J15" s="493"/>
      <c r="K15" s="493"/>
      <c r="L15" s="493"/>
      <c r="M15" s="493"/>
      <c r="N15" s="493"/>
      <c r="O15" s="493"/>
      <c r="P15" s="493"/>
      <c r="Q15" s="493"/>
      <c r="R15" s="493"/>
      <c r="S15" s="493"/>
      <c r="T15" s="493"/>
      <c r="U15" s="493"/>
    </row>
    <row r="16" spans="2:20" ht="12.75" customHeight="1">
      <c r="B16" s="493" t="s">
        <v>249</v>
      </c>
      <c r="C16" s="493"/>
      <c r="D16" s="493"/>
      <c r="E16" s="493"/>
      <c r="F16" s="513">
        <f>[2]!CA0194Buildings</f>
        <v>0</v>
      </c>
      <c r="G16" s="514">
        <v>16966</v>
      </c>
      <c r="M16" s="669" t="s">
        <v>291</v>
      </c>
      <c r="N16" s="670"/>
      <c r="O16" s="671"/>
      <c r="P16" s="669" t="s">
        <v>294</v>
      </c>
      <c r="Q16" s="671"/>
      <c r="R16" s="516" t="s">
        <v>291</v>
      </c>
      <c r="S16" s="516" t="s">
        <v>294</v>
      </c>
      <c r="T16" s="516" t="s">
        <v>298</v>
      </c>
    </row>
    <row r="17" spans="2:21" ht="12.75" customHeight="1">
      <c r="B17" s="493" t="s">
        <v>250</v>
      </c>
      <c r="C17" s="493"/>
      <c r="D17" s="493"/>
      <c r="E17" s="493"/>
      <c r="F17" s="513">
        <v>15000</v>
      </c>
      <c r="G17" s="514">
        <v>36251</v>
      </c>
      <c r="I17" s="485" t="s">
        <v>55</v>
      </c>
      <c r="J17" s="498" t="s">
        <v>374</v>
      </c>
      <c r="K17" s="498"/>
      <c r="L17" s="498"/>
      <c r="M17" s="665" t="s">
        <v>290</v>
      </c>
      <c r="N17" s="668"/>
      <c r="O17" s="666"/>
      <c r="P17" s="665" t="s">
        <v>290</v>
      </c>
      <c r="Q17" s="666"/>
      <c r="R17" s="517" t="s">
        <v>295</v>
      </c>
      <c r="S17" s="517" t="s">
        <v>295</v>
      </c>
      <c r="T17" s="517" t="s">
        <v>290</v>
      </c>
      <c r="U17" s="487"/>
    </row>
    <row r="18" spans="2:21" ht="12.75" customHeight="1" thickBot="1">
      <c r="B18" s="498" t="s">
        <v>251</v>
      </c>
      <c r="C18" s="493"/>
      <c r="D18" s="493"/>
      <c r="E18" s="493"/>
      <c r="F18" s="513">
        <f>[2]!CA0198CIP</f>
        <v>0</v>
      </c>
      <c r="G18" s="518">
        <v>0</v>
      </c>
      <c r="J18" s="498" t="s">
        <v>228</v>
      </c>
      <c r="K18" s="498"/>
      <c r="L18" s="498"/>
      <c r="M18" s="660" t="s">
        <v>292</v>
      </c>
      <c r="N18" s="661"/>
      <c r="O18" s="662"/>
      <c r="P18" s="660" t="s">
        <v>293</v>
      </c>
      <c r="Q18" s="662"/>
      <c r="R18" s="519" t="s">
        <v>296</v>
      </c>
      <c r="S18" s="519" t="s">
        <v>297</v>
      </c>
      <c r="T18" s="519" t="s">
        <v>299</v>
      </c>
      <c r="U18" s="487"/>
    </row>
    <row r="19" spans="2:21" ht="12.75" customHeight="1" thickBot="1">
      <c r="B19" s="520" t="s">
        <v>307</v>
      </c>
      <c r="C19" s="520"/>
      <c r="D19" s="520"/>
      <c r="E19" s="493"/>
      <c r="F19" s="509">
        <f>SUM(F14:F18)</f>
        <v>15000</v>
      </c>
      <c r="G19" s="521">
        <f>SUM(G14:G18)</f>
        <v>53217</v>
      </c>
      <c r="J19" s="497" t="s">
        <v>6</v>
      </c>
      <c r="K19" s="498" t="s">
        <v>373</v>
      </c>
      <c r="L19" s="498"/>
      <c r="M19" s="663">
        <v>105000</v>
      </c>
      <c r="N19" s="664"/>
      <c r="O19" s="667"/>
      <c r="P19" s="663">
        <v>190000</v>
      </c>
      <c r="Q19" s="664"/>
      <c r="R19" s="522"/>
      <c r="S19" s="522"/>
      <c r="T19" s="522"/>
      <c r="U19" s="487"/>
    </row>
    <row r="20" spans="10:21" ht="13.5" customHeight="1" thickTop="1">
      <c r="J20" s="497" t="s">
        <v>7</v>
      </c>
      <c r="K20" s="498" t="s">
        <v>372</v>
      </c>
      <c r="L20" s="498"/>
      <c r="M20" s="663">
        <v>30000</v>
      </c>
      <c r="N20" s="664"/>
      <c r="O20" s="667"/>
      <c r="P20" s="663"/>
      <c r="Q20" s="664"/>
      <c r="R20" s="522"/>
      <c r="S20" s="522"/>
      <c r="T20" s="522"/>
      <c r="U20" s="487"/>
    </row>
    <row r="21" spans="1:21" ht="12.75">
      <c r="A21" s="485" t="s">
        <v>60</v>
      </c>
      <c r="B21" s="498" t="s">
        <v>460</v>
      </c>
      <c r="C21" s="498"/>
      <c r="D21" s="498"/>
      <c r="E21" s="498"/>
      <c r="F21" s="498"/>
      <c r="J21" s="497" t="s">
        <v>8</v>
      </c>
      <c r="K21" s="498" t="s">
        <v>371</v>
      </c>
      <c r="L21" s="498"/>
      <c r="M21" s="663"/>
      <c r="N21" s="664"/>
      <c r="O21" s="667"/>
      <c r="P21" s="663"/>
      <c r="Q21" s="664"/>
      <c r="R21" s="522"/>
      <c r="S21" s="522"/>
      <c r="T21" s="522"/>
      <c r="U21" s="515"/>
    </row>
    <row r="22" spans="1:21" ht="13.5" customHeight="1">
      <c r="A22" s="493"/>
      <c r="B22" s="493" t="s">
        <v>247</v>
      </c>
      <c r="C22" s="493"/>
      <c r="D22" s="493"/>
      <c r="E22" s="494" t="s">
        <v>52</v>
      </c>
      <c r="F22" s="496">
        <v>608360</v>
      </c>
      <c r="J22" s="497" t="s">
        <v>9</v>
      </c>
      <c r="K22" s="498" t="s">
        <v>370</v>
      </c>
      <c r="L22" s="498"/>
      <c r="M22" s="663"/>
      <c r="N22" s="664"/>
      <c r="O22" s="667"/>
      <c r="P22" s="663"/>
      <c r="Q22" s="667"/>
      <c r="R22" s="522"/>
      <c r="S22" s="522"/>
      <c r="T22" s="522"/>
      <c r="U22" s="515"/>
    </row>
    <row r="23" spans="1:21" ht="13.5" customHeight="1">
      <c r="A23" s="493"/>
      <c r="B23" s="493" t="s">
        <v>248</v>
      </c>
      <c r="C23" s="493"/>
      <c r="D23" s="493"/>
      <c r="E23" s="494" t="s">
        <v>52</v>
      </c>
      <c r="F23" s="496"/>
      <c r="J23" s="497" t="s">
        <v>10</v>
      </c>
      <c r="K23" s="672" t="s">
        <v>229</v>
      </c>
      <c r="L23" s="673"/>
      <c r="M23" s="659"/>
      <c r="N23" s="659"/>
      <c r="O23" s="659"/>
      <c r="P23" s="659"/>
      <c r="Q23" s="659"/>
      <c r="R23" s="659"/>
      <c r="S23" s="659"/>
      <c r="T23" s="659"/>
      <c r="U23" s="515"/>
    </row>
    <row r="24" spans="1:21" ht="13.5" customHeight="1">
      <c r="A24" s="493"/>
      <c r="B24" s="493" t="s">
        <v>249</v>
      </c>
      <c r="C24" s="493"/>
      <c r="D24" s="493"/>
      <c r="E24" s="494" t="s">
        <v>52</v>
      </c>
      <c r="F24" s="506">
        <v>2282705</v>
      </c>
      <c r="J24" s="523"/>
      <c r="K24" s="672"/>
      <c r="L24" s="673"/>
      <c r="M24" s="659"/>
      <c r="N24" s="659"/>
      <c r="O24" s="659"/>
      <c r="P24" s="659"/>
      <c r="Q24" s="659"/>
      <c r="R24" s="659"/>
      <c r="S24" s="659"/>
      <c r="T24" s="659"/>
      <c r="U24" s="515"/>
    </row>
    <row r="25" spans="1:21" ht="13.5" customHeight="1">
      <c r="A25" s="493"/>
      <c r="B25" s="493" t="s">
        <v>250</v>
      </c>
      <c r="C25" s="493"/>
      <c r="D25" s="493"/>
      <c r="E25" s="494" t="s">
        <v>52</v>
      </c>
      <c r="F25" s="496">
        <v>413549</v>
      </c>
      <c r="M25" s="524"/>
      <c r="N25" s="524"/>
      <c r="O25" s="524"/>
      <c r="P25" s="524"/>
      <c r="Q25" s="524"/>
      <c r="R25" s="524"/>
      <c r="S25" s="524"/>
      <c r="T25" s="524"/>
      <c r="U25" s="524"/>
    </row>
    <row r="26" spans="1:21" ht="13.5" customHeight="1">
      <c r="A26" s="493"/>
      <c r="B26" s="498" t="s">
        <v>251</v>
      </c>
      <c r="C26" s="493"/>
      <c r="D26" s="493"/>
      <c r="E26" s="494" t="s">
        <v>52</v>
      </c>
      <c r="F26" s="496"/>
      <c r="M26" s="515"/>
      <c r="N26" s="515"/>
      <c r="O26" s="515"/>
      <c r="P26" s="515"/>
      <c r="Q26" s="515"/>
      <c r="R26" s="515"/>
      <c r="S26" s="515"/>
      <c r="T26" s="515"/>
      <c r="U26" s="515"/>
    </row>
    <row r="27" spans="1:21" ht="13.5" customHeight="1" thickBot="1">
      <c r="A27" s="493"/>
      <c r="B27" s="520" t="s">
        <v>224</v>
      </c>
      <c r="C27" s="493"/>
      <c r="D27" s="493"/>
      <c r="E27" s="494" t="s">
        <v>52</v>
      </c>
      <c r="F27" s="525">
        <f>SUM(F22:F26)</f>
        <v>3304614</v>
      </c>
      <c r="M27" s="487"/>
      <c r="N27" s="487"/>
      <c r="O27" s="487"/>
      <c r="P27" s="487"/>
      <c r="Q27" s="487"/>
      <c r="R27" s="487"/>
      <c r="S27" s="487"/>
      <c r="T27" s="487"/>
      <c r="U27" s="487"/>
    </row>
    <row r="28" ht="13.5" customHeight="1" thickTop="1"/>
    <row r="29" spans="1:7" ht="13.5" customHeight="1">
      <c r="A29" s="485" t="s">
        <v>89</v>
      </c>
      <c r="B29" s="498" t="s">
        <v>107</v>
      </c>
      <c r="C29" s="498"/>
      <c r="D29" s="498"/>
      <c r="E29" s="526"/>
      <c r="G29" s="527"/>
    </row>
    <row r="30" spans="2:7" ht="12.75">
      <c r="B30" s="528" t="s">
        <v>257</v>
      </c>
      <c r="C30" s="498"/>
      <c r="D30" s="498"/>
      <c r="E30" s="529"/>
      <c r="F30" s="530" t="s">
        <v>52</v>
      </c>
      <c r="G30" s="531">
        <v>543367</v>
      </c>
    </row>
    <row r="31" spans="2:7" ht="12.75">
      <c r="B31" s="528" t="s">
        <v>221</v>
      </c>
      <c r="C31" s="532"/>
      <c r="D31" s="532"/>
      <c r="E31" s="532"/>
      <c r="F31" s="530" t="s">
        <v>52</v>
      </c>
      <c r="G31" s="531">
        <v>33956</v>
      </c>
    </row>
    <row r="32" spans="2:7" ht="12.75">
      <c r="B32" s="528" t="s">
        <v>222</v>
      </c>
      <c r="C32" s="532"/>
      <c r="D32" s="532"/>
      <c r="E32" s="532"/>
      <c r="F32" s="530" t="s">
        <v>52</v>
      </c>
      <c r="G32" s="533">
        <v>602181</v>
      </c>
    </row>
    <row r="33" spans="2:7" ht="13.5" customHeight="1">
      <c r="B33" s="528" t="s">
        <v>223</v>
      </c>
      <c r="C33" s="532"/>
      <c r="D33" s="532"/>
      <c r="E33" s="532"/>
      <c r="F33" s="530" t="s">
        <v>52</v>
      </c>
      <c r="G33" s="531">
        <v>1</v>
      </c>
    </row>
    <row r="34" spans="2:7" ht="13.5" customHeight="1">
      <c r="B34" s="528" t="s">
        <v>260</v>
      </c>
      <c r="C34" s="498"/>
      <c r="D34" s="498"/>
      <c r="E34" s="532"/>
      <c r="F34" s="530" t="s">
        <v>52</v>
      </c>
      <c r="G34" s="531">
        <v>526449</v>
      </c>
    </row>
    <row r="35" spans="2:7" ht="13.5" thickBot="1">
      <c r="B35" s="534" t="s">
        <v>224</v>
      </c>
      <c r="C35" s="493"/>
      <c r="D35" s="493"/>
      <c r="E35" s="493"/>
      <c r="F35" s="530" t="s">
        <v>52</v>
      </c>
      <c r="G35" s="535">
        <f>SUM(G30:G34)</f>
        <v>1705954</v>
      </c>
    </row>
    <row r="36" ht="13.5" thickTop="1"/>
  </sheetData>
  <sheetProtection formatCells="0" formatColumns="0" formatRows="0"/>
  <mergeCells count="21">
    <mergeCell ref="K23:L24"/>
    <mergeCell ref="C1:F1"/>
    <mergeCell ref="P16:Q16"/>
    <mergeCell ref="P21:Q21"/>
    <mergeCell ref="M22:O22"/>
    <mergeCell ref="P22:Q22"/>
    <mergeCell ref="P19:Q19"/>
    <mergeCell ref="P18:Q18"/>
    <mergeCell ref="M19:O19"/>
    <mergeCell ref="P17:Q17"/>
    <mergeCell ref="M21:O21"/>
    <mergeCell ref="P23:Q24"/>
    <mergeCell ref="M17:O17"/>
    <mergeCell ref="M20:O20"/>
    <mergeCell ref="M16:O16"/>
    <mergeCell ref="S23:S24"/>
    <mergeCell ref="T23:T24"/>
    <mergeCell ref="M23:O24"/>
    <mergeCell ref="M18:O18"/>
    <mergeCell ref="P20:Q20"/>
    <mergeCell ref="R23:R24"/>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s>
  <printOptions horizontalCentered="1"/>
  <pageMargins left="1" right="0.25" top="0.5" bottom="0.25" header="0.5" footer="0.15"/>
  <pageSetup fitToHeight="1" fitToWidth="1" horizontalDpi="600" verticalDpi="600" orientation="landscape" scale="71" r:id="rId2"/>
  <headerFooter>
    <oddFooter>&amp;LRev. 8/17&amp;CFY 2017&amp;RPage 7 of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T17" sqref="T17"/>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64" t="str">
        <f>'Cover Page'!D1</f>
        <v>NORTH STAR CHARTER SCHOOL, INC.</v>
      </c>
      <c r="E1" s="564"/>
      <c r="F1" s="564"/>
      <c r="G1" s="564"/>
      <c r="H1" s="2"/>
      <c r="I1" s="2"/>
      <c r="K1" s="4" t="s">
        <v>1</v>
      </c>
      <c r="L1" s="564" t="str">
        <f>'Cover Page'!M1</f>
        <v>MARICOPA</v>
      </c>
      <c r="M1" s="564"/>
      <c r="P1" s="11"/>
      <c r="U1" s="4" t="s">
        <v>138</v>
      </c>
      <c r="V1" s="170" t="str">
        <f>'Cover Page'!R1</f>
        <v>078945000</v>
      </c>
    </row>
    <row r="2" spans="17:20" ht="12.75" customHeight="1">
      <c r="Q2" s="6"/>
      <c r="T2" s="6"/>
    </row>
    <row r="3" spans="1:25" ht="12.75" customHeight="1">
      <c r="A3" s="43" t="s">
        <v>116</v>
      </c>
      <c r="B3" s="6"/>
      <c r="C3" s="6"/>
      <c r="D3" s="6"/>
      <c r="E3" s="6"/>
      <c r="F3" s="6"/>
      <c r="G3" s="6"/>
      <c r="H3" s="6"/>
      <c r="I3" s="44"/>
      <c r="J3" s="44"/>
      <c r="K3" s="44"/>
      <c r="L3" s="44"/>
      <c r="M3" s="44"/>
      <c r="N3" s="44"/>
      <c r="O3" s="6"/>
      <c r="P3" s="6"/>
      <c r="Q3" s="6"/>
      <c r="R3" s="6"/>
      <c r="S3" s="6"/>
      <c r="T3" s="6"/>
      <c r="U3" s="6"/>
      <c r="Y3" s="4"/>
    </row>
    <row r="4" ht="6" customHeight="1"/>
    <row r="5" spans="1:6" ht="12.75" customHeight="1">
      <c r="A5" t="s">
        <v>209</v>
      </c>
      <c r="B5"/>
      <c r="C5"/>
      <c r="D5"/>
      <c r="E5"/>
      <c r="F5"/>
    </row>
    <row r="6" spans="5:20" ht="12.75" customHeight="1">
      <c r="E6" s="677" t="s">
        <v>63</v>
      </c>
      <c r="F6" s="678"/>
      <c r="G6" s="678"/>
      <c r="H6" s="678"/>
      <c r="I6" s="678"/>
      <c r="J6" s="678"/>
      <c r="K6" s="678"/>
      <c r="L6" s="678"/>
      <c r="M6" s="678"/>
      <c r="N6" s="678"/>
      <c r="O6" s="678"/>
      <c r="P6" s="678"/>
      <c r="Q6" s="678"/>
      <c r="R6" s="679"/>
      <c r="S6" s="18"/>
      <c r="T6" s="18"/>
    </row>
    <row r="7" spans="2:20" ht="12.75" customHeight="1">
      <c r="B7" s="3" t="s">
        <v>62</v>
      </c>
      <c r="E7" s="19" t="s">
        <v>64</v>
      </c>
      <c r="F7" s="19">
        <v>1</v>
      </c>
      <c r="G7" s="19">
        <v>2</v>
      </c>
      <c r="H7" s="19">
        <v>3</v>
      </c>
      <c r="I7" s="19">
        <v>4</v>
      </c>
      <c r="J7" s="19">
        <v>5</v>
      </c>
      <c r="K7" s="19">
        <v>6</v>
      </c>
      <c r="L7" s="19">
        <v>7</v>
      </c>
      <c r="M7" s="19">
        <v>8</v>
      </c>
      <c r="N7" s="19">
        <v>9</v>
      </c>
      <c r="O7" s="19">
        <v>10</v>
      </c>
      <c r="P7" s="19">
        <v>11</v>
      </c>
      <c r="Q7" s="19">
        <v>12</v>
      </c>
      <c r="R7" s="19" t="s">
        <v>33</v>
      </c>
      <c r="S7" s="20"/>
      <c r="T7" s="20"/>
    </row>
    <row r="8" spans="2:20" ht="12.75" customHeight="1">
      <c r="B8" s="3" t="s">
        <v>65</v>
      </c>
      <c r="E8" s="15"/>
      <c r="F8" s="15"/>
      <c r="G8" s="15"/>
      <c r="H8" s="15"/>
      <c r="I8" s="15"/>
      <c r="J8" s="15"/>
      <c r="K8" s="15"/>
      <c r="L8" s="15"/>
      <c r="M8" s="15"/>
      <c r="N8" s="15"/>
      <c r="O8" s="15"/>
      <c r="P8" s="15"/>
      <c r="Q8" s="15"/>
      <c r="R8" s="21">
        <f>SUM(E8:Q8)</f>
        <v>0</v>
      </c>
      <c r="S8" s="22" t="s">
        <v>6</v>
      </c>
      <c r="T8" s="2"/>
    </row>
    <row r="9" spans="2:20" ht="12.75" customHeight="1">
      <c r="B9" s="3" t="s">
        <v>66</v>
      </c>
      <c r="E9" s="15"/>
      <c r="F9" s="15"/>
      <c r="G9" s="15"/>
      <c r="H9" s="15"/>
      <c r="I9" s="15"/>
      <c r="J9" s="15"/>
      <c r="K9" s="15"/>
      <c r="L9" s="15"/>
      <c r="M9" s="15"/>
      <c r="N9" s="15"/>
      <c r="O9" s="15"/>
      <c r="P9" s="15"/>
      <c r="Q9" s="15"/>
      <c r="R9" s="21">
        <f>SUM(E9:Q9)</f>
        <v>0</v>
      </c>
      <c r="S9" s="22" t="s">
        <v>7</v>
      </c>
      <c r="T9" s="2"/>
    </row>
    <row r="10" spans="2:20" ht="12.75" customHeight="1" thickBot="1">
      <c r="B10" s="3" t="s">
        <v>67</v>
      </c>
      <c r="E10" s="23"/>
      <c r="F10" s="23"/>
      <c r="G10" s="23"/>
      <c r="H10" s="23"/>
      <c r="I10" s="23"/>
      <c r="J10" s="23"/>
      <c r="K10" s="23"/>
      <c r="L10" s="23"/>
      <c r="M10" s="23"/>
      <c r="N10" s="23"/>
      <c r="O10" s="23"/>
      <c r="P10" s="23"/>
      <c r="Q10" s="23"/>
      <c r="R10" s="24">
        <f>SUM(E10:Q10)</f>
        <v>0</v>
      </c>
      <c r="S10" s="22" t="s">
        <v>8</v>
      </c>
      <c r="T10" s="2"/>
    </row>
    <row r="11" spans="2:19" s="2" customFormat="1" ht="12.75" customHeight="1">
      <c r="B11" s="2" t="s">
        <v>134</v>
      </c>
      <c r="E11" s="675">
        <f aca="true" t="shared" si="0" ref="E11:Q11">SUM(E8:E10)</f>
        <v>0</v>
      </c>
      <c r="F11" s="675">
        <f t="shared" si="0"/>
        <v>0</v>
      </c>
      <c r="G11" s="675">
        <f t="shared" si="0"/>
        <v>0</v>
      </c>
      <c r="H11" s="675">
        <f t="shared" si="0"/>
        <v>0</v>
      </c>
      <c r="I11" s="675">
        <f t="shared" si="0"/>
        <v>0</v>
      </c>
      <c r="J11" s="675">
        <f t="shared" si="0"/>
        <v>0</v>
      </c>
      <c r="K11" s="675">
        <f t="shared" si="0"/>
        <v>0</v>
      </c>
      <c r="L11" s="675">
        <f t="shared" si="0"/>
        <v>0</v>
      </c>
      <c r="M11" s="675">
        <f t="shared" si="0"/>
        <v>0</v>
      </c>
      <c r="N11" s="675">
        <f t="shared" si="0"/>
        <v>0</v>
      </c>
      <c r="O11" s="675">
        <f t="shared" si="0"/>
        <v>0</v>
      </c>
      <c r="P11" s="675">
        <f t="shared" si="0"/>
        <v>0</v>
      </c>
      <c r="Q11" s="675">
        <f t="shared" si="0"/>
        <v>0</v>
      </c>
      <c r="R11" s="675">
        <f>SUM(E11:Q11)</f>
        <v>0</v>
      </c>
      <c r="S11" s="25"/>
    </row>
    <row r="12" spans="2:20" ht="13.5" thickBot="1">
      <c r="B12" s="3" t="s">
        <v>342</v>
      </c>
      <c r="E12" s="676"/>
      <c r="F12" s="676"/>
      <c r="G12" s="676"/>
      <c r="H12" s="676"/>
      <c r="I12" s="676"/>
      <c r="J12" s="676"/>
      <c r="K12" s="676"/>
      <c r="L12" s="676"/>
      <c r="M12" s="676"/>
      <c r="N12" s="676"/>
      <c r="O12" s="676"/>
      <c r="P12" s="676"/>
      <c r="Q12" s="676"/>
      <c r="R12" s="676"/>
      <c r="S12" s="22" t="s">
        <v>9</v>
      </c>
      <c r="T12" s="2"/>
    </row>
    <row r="13" ht="16.5" customHeight="1" thickTop="1"/>
    <row r="14" spans="1:17" ht="12.75" customHeight="1">
      <c r="A14" s="682" t="s">
        <v>384</v>
      </c>
      <c r="B14" s="682"/>
      <c r="C14" s="682"/>
      <c r="D14" s="682"/>
      <c r="E14" s="682"/>
      <c r="F14" s="301"/>
      <c r="G14" s="301"/>
      <c r="H14" s="160"/>
      <c r="K14" s="276" t="s">
        <v>383</v>
      </c>
      <c r="L14" s="276"/>
      <c r="M14" s="276"/>
      <c r="N14" s="276"/>
      <c r="O14" s="276"/>
      <c r="P14" s="276"/>
      <c r="Q14" s="276"/>
    </row>
    <row r="15" spans="1:20" ht="38.25" customHeight="1">
      <c r="A15" s="303"/>
      <c r="B15" s="683" t="s">
        <v>407</v>
      </c>
      <c r="C15" s="683"/>
      <c r="D15" s="683"/>
      <c r="E15" s="683"/>
      <c r="F15" s="301"/>
      <c r="G15" s="301"/>
      <c r="H15" s="160"/>
      <c r="S15" s="196" t="s">
        <v>268</v>
      </c>
      <c r="T15" s="196" t="s">
        <v>263</v>
      </c>
    </row>
    <row r="16" spans="1:21" ht="12.75" customHeight="1">
      <c r="A16" s="45"/>
      <c r="B16" s="33" t="s">
        <v>261</v>
      </c>
      <c r="E16" s="160"/>
      <c r="K16" s="47" t="s">
        <v>6</v>
      </c>
      <c r="L16" s="682" t="s">
        <v>462</v>
      </c>
      <c r="M16" s="682"/>
      <c r="N16" s="682"/>
      <c r="O16" s="682"/>
      <c r="P16" s="682"/>
      <c r="S16" s="279">
        <v>40000</v>
      </c>
      <c r="T16" s="53">
        <v>33000</v>
      </c>
      <c r="U16" s="22" t="s">
        <v>6</v>
      </c>
    </row>
    <row r="17" spans="1:21" ht="12.75" customHeight="1">
      <c r="A17" s="45"/>
      <c r="B17" s="3" t="s">
        <v>90</v>
      </c>
      <c r="C17" s="9" t="s">
        <v>52</v>
      </c>
      <c r="D17" s="12"/>
      <c r="E17" s="160"/>
      <c r="K17" s="47" t="s">
        <v>7</v>
      </c>
      <c r="L17" s="680" t="s">
        <v>375</v>
      </c>
      <c r="M17" s="680"/>
      <c r="N17" s="680"/>
      <c r="O17" s="51"/>
      <c r="S17" s="129">
        <f>[2]!P200GiftedEducation</f>
        <v>0</v>
      </c>
      <c r="T17" s="15"/>
      <c r="U17" s="22" t="s">
        <v>7</v>
      </c>
    </row>
    <row r="18" spans="1:21" ht="12.75" customHeight="1">
      <c r="A18" s="45"/>
      <c r="B18" s="22" t="s">
        <v>86</v>
      </c>
      <c r="C18" s="9" t="s">
        <v>52</v>
      </c>
      <c r="D18" s="13"/>
      <c r="E18" s="160"/>
      <c r="K18" s="47" t="s">
        <v>8</v>
      </c>
      <c r="L18" s="3" t="s">
        <v>233</v>
      </c>
      <c r="S18" s="129">
        <f>[2]!P200ELLIncrementalCosts</f>
        <v>0</v>
      </c>
      <c r="T18" s="15"/>
      <c r="U18" s="22" t="s">
        <v>8</v>
      </c>
    </row>
    <row r="19" spans="1:21" ht="12.75" customHeight="1" thickBot="1">
      <c r="A19" s="45"/>
      <c r="B19" s="3" t="s">
        <v>135</v>
      </c>
      <c r="C19" s="9" t="s">
        <v>52</v>
      </c>
      <c r="D19" s="42">
        <f>SUM(D17:D18)</f>
        <v>0</v>
      </c>
      <c r="E19" s="302"/>
      <c r="K19" s="47" t="s">
        <v>9</v>
      </c>
      <c r="L19" s="3" t="s">
        <v>234</v>
      </c>
      <c r="S19" s="129">
        <f>[2]!P200ELLCompensatoryInstruction</f>
        <v>0</v>
      </c>
      <c r="T19" s="15"/>
      <c r="U19" s="22" t="s">
        <v>9</v>
      </c>
    </row>
    <row r="20" spans="11:21" ht="12.75" customHeight="1" thickTop="1">
      <c r="K20" s="47" t="s">
        <v>10</v>
      </c>
      <c r="L20" s="3" t="s">
        <v>128</v>
      </c>
      <c r="S20" s="129">
        <f>[2]!P200RemedialEducation</f>
        <v>0</v>
      </c>
      <c r="T20" s="15"/>
      <c r="U20" s="22" t="s">
        <v>10</v>
      </c>
    </row>
    <row r="21" spans="11:21" ht="12.75">
      <c r="K21" s="47" t="s">
        <v>11</v>
      </c>
      <c r="L21" s="3" t="s">
        <v>180</v>
      </c>
      <c r="S21" s="129">
        <f>[2]!P200VocationalandTechnologicalEd</f>
        <v>0</v>
      </c>
      <c r="T21" s="15"/>
      <c r="U21" s="22" t="s">
        <v>11</v>
      </c>
    </row>
    <row r="22" spans="11:21" ht="12" customHeight="1" thickBot="1">
      <c r="K22" s="47" t="s">
        <v>12</v>
      </c>
      <c r="L22" s="3" t="s">
        <v>129</v>
      </c>
      <c r="S22" s="172">
        <f>[2]!P200CareerEducation</f>
        <v>0</v>
      </c>
      <c r="T22" s="23"/>
      <c r="U22" s="22" t="s">
        <v>12</v>
      </c>
    </row>
    <row r="23" spans="11:21" ht="12.75" customHeight="1" thickBot="1">
      <c r="K23" s="47" t="s">
        <v>14</v>
      </c>
      <c r="L23" s="681" t="s">
        <v>461</v>
      </c>
      <c r="M23" s="681"/>
      <c r="N23" s="681"/>
      <c r="O23" s="681"/>
      <c r="P23" s="681"/>
      <c r="Q23" s="270"/>
      <c r="S23" s="50">
        <f>SUM(S16:S22)</f>
        <v>40000</v>
      </c>
      <c r="T23" s="17">
        <f>SUM(T16:T22)</f>
        <v>33000</v>
      </c>
      <c r="U23" s="22" t="s">
        <v>14</v>
      </c>
    </row>
    <row r="24" spans="1:8" ht="12.75" customHeight="1" thickTop="1">
      <c r="A24" s="9"/>
      <c r="B24" s="572"/>
      <c r="C24" s="572"/>
      <c r="D24" s="572"/>
      <c r="E24" s="572"/>
      <c r="F24" s="572"/>
      <c r="G24" s="572"/>
      <c r="H24" s="572"/>
    </row>
    <row r="25" spans="1:8" ht="12.75" customHeight="1">
      <c r="A25" s="9"/>
      <c r="B25" s="572"/>
      <c r="C25" s="572"/>
      <c r="D25" s="572"/>
      <c r="E25" s="572"/>
      <c r="F25" s="572"/>
      <c r="G25" s="572"/>
      <c r="H25" s="572"/>
    </row>
    <row r="26" spans="1:24" ht="12.75" customHeight="1">
      <c r="A26" s="47"/>
      <c r="B26" s="572"/>
      <c r="C26" s="572"/>
      <c r="D26" s="572"/>
      <c r="E26" s="572"/>
      <c r="F26" s="572"/>
      <c r="G26" s="572"/>
      <c r="H26" s="572"/>
      <c r="I26" s="572"/>
      <c r="J26" s="572"/>
      <c r="K26" s="572"/>
      <c r="L26" s="572"/>
      <c r="W26" s="269"/>
      <c r="X26" s="269"/>
    </row>
    <row r="27" spans="2:13" ht="12.75" customHeight="1">
      <c r="B27" s="572"/>
      <c r="C27" s="572"/>
      <c r="D27" s="572"/>
      <c r="E27" s="572"/>
      <c r="F27" s="572"/>
      <c r="G27" s="572"/>
      <c r="H27" s="572"/>
      <c r="I27" s="572"/>
      <c r="J27" s="572"/>
      <c r="K27" s="572"/>
      <c r="L27" s="572"/>
      <c r="M27" s="572"/>
    </row>
    <row r="31" spans="2:3" ht="12.75" customHeight="1">
      <c r="B31" s="277"/>
      <c r="C31" s="277"/>
    </row>
  </sheetData>
  <sheetProtection formatCells="0" formatColumns="0" formatRows="0"/>
  <mergeCells count="26">
    <mergeCell ref="D1:G1"/>
    <mergeCell ref="L1:M1"/>
    <mergeCell ref="E11:E12"/>
    <mergeCell ref="F11:F12"/>
    <mergeCell ref="G11:G12"/>
    <mergeCell ref="H11:H12"/>
    <mergeCell ref="J11:J12"/>
    <mergeCell ref="K11:K12"/>
    <mergeCell ref="B26:L26"/>
    <mergeCell ref="B27:M27"/>
    <mergeCell ref="L11:L12"/>
    <mergeCell ref="B24:H24"/>
    <mergeCell ref="B25:H25"/>
    <mergeCell ref="L17:N17"/>
    <mergeCell ref="L23:P23"/>
    <mergeCell ref="A14:E14"/>
    <mergeCell ref="B15:E15"/>
    <mergeCell ref="L16:P16"/>
    <mergeCell ref="Q11:Q12"/>
    <mergeCell ref="R11:R12"/>
    <mergeCell ref="E6:R6"/>
    <mergeCell ref="M11:M12"/>
    <mergeCell ref="N11:N12"/>
    <mergeCell ref="O11:O12"/>
    <mergeCell ref="P11:P12"/>
    <mergeCell ref="I11:I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1" right="0.25" top="0.5" bottom="0.25" header="0.5" footer="0.15"/>
  <pageSetup fitToHeight="1" fitToWidth="1" horizontalDpi="600" verticalDpi="600" orientation="landscape" scale="78" r:id="rId2"/>
  <headerFooter>
    <oddFooter>&amp;LRev. 8/17&amp;CFY 2017&amp;RPage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CEO</cp:lastModifiedBy>
  <cp:lastPrinted>2017-10-11T20:06:09Z</cp:lastPrinted>
  <dcterms:created xsi:type="dcterms:W3CDTF">1997-10-10T20:56:13Z</dcterms:created>
  <dcterms:modified xsi:type="dcterms:W3CDTF">2017-10-11T20:07:38Z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